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D:\Pen and Paper\Warhammer 40,000 WH40k\Wrath and Glory\Characters\"/>
    </mc:Choice>
  </mc:AlternateContent>
  <xr:revisionPtr revIDLastSave="0" documentId="10_ncr:8100000_{2E1BF73C-89C0-4266-A93F-14E5410E12A8}" xr6:coauthVersionLast="34" xr6:coauthVersionMax="34" xr10:uidLastSave="{00000000-0000-0000-0000-000000000000}"/>
  <bookViews>
    <workbookView xWindow="0" yWindow="0" windowWidth="28800" windowHeight="12225" activeTab="1" xr2:uid="{E35E5006-7CDE-4907-BEA6-2B29561261F7}"/>
  </bookViews>
  <sheets>
    <sheet name="Notes" sheetId="5" r:id="rId1"/>
    <sheet name="Character" sheetId="1" r:id="rId2"/>
    <sheet name="Ascension" sheetId="4" r:id="rId3"/>
    <sheet name="Database" sheetId="3" r:id="rId4"/>
  </sheets>
  <definedNames>
    <definedName name="Adj_Agility">Character!$C$8</definedName>
    <definedName name="Adj_Fellowship">Character!$C$12</definedName>
    <definedName name="Adj_Initiative">Character!$C$13</definedName>
    <definedName name="Adj_Intellect">Character!$C$10</definedName>
    <definedName name="Adj_Strength">Character!$C$7</definedName>
    <definedName name="Adj_Toughness">Character!$C$9</definedName>
    <definedName name="Adj_Willpower">Character!$C$11</definedName>
    <definedName name="Archetype">Character!$G$3</definedName>
    <definedName name="Armour_Names">Database!$P$4:$P$32</definedName>
    <definedName name="Armour_Rating">Character!$G$29</definedName>
    <definedName name="Ascension">Ascension!$B$2</definedName>
    <definedName name="Combat_MentalTraits">Character!$A$26:$D$29</definedName>
    <definedName name="Names_Archetypes">Database!$A$32:$A$62</definedName>
    <definedName name="Names_Ascensions">Database!$I$32:$I$33</definedName>
    <definedName name="Names_Powers">Database!$I$36:$I$87</definedName>
    <definedName name="Names_Species">Database!$A$4:$A$8</definedName>
    <definedName name="Rank_Bonus">Character!$D$3</definedName>
    <definedName name="Raw_Agility">Character!$B$8</definedName>
    <definedName name="Raw_Fellowship">Character!$B$12</definedName>
    <definedName name="Raw_Initiative">Character!$B$13</definedName>
    <definedName name="Raw_Intellect">Character!$B$10</definedName>
    <definedName name="Raw_Strength">Character!$B$7</definedName>
    <definedName name="Raw_Toughness">Character!$B$9</definedName>
    <definedName name="Raw_Willpower">Character!$B$11</definedName>
    <definedName name="Species">Character!$G$2</definedName>
    <definedName name="Table_Archetype">Database!$A$32:$G$62</definedName>
    <definedName name="Table_Armour">Database!$P$4:$T$32</definedName>
    <definedName name="Table_Ascensions">Database!$I$32:$O$33</definedName>
    <definedName name="Table_Attributes">Character!$A$7:$C$13</definedName>
    <definedName name="Table_CombatTraits">Character!$A$17:$D$22</definedName>
    <definedName name="Table_Powers">Database!$I$36:$Q$87</definedName>
    <definedName name="Table_SocialTraits">Character!$A$33:$D$34</definedName>
    <definedName name="Table_Species">Database!$A$4:$M$8</definedName>
    <definedName name="Table_Species_X">Database!$A$3:$M$3</definedName>
    <definedName name="Tier">Character!$B$2</definedName>
    <definedName name="Tier_Diff">Database!$J$30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0" i="1" l="1"/>
  <c r="Q11" i="1"/>
  <c r="Q12" i="1"/>
  <c r="Q13" i="1"/>
  <c r="Q14" i="1"/>
  <c r="Q15" i="1"/>
  <c r="Q16" i="1"/>
  <c r="Q17" i="1"/>
  <c r="Q18" i="1"/>
  <c r="Q19" i="1"/>
  <c r="Q20" i="1"/>
  <c r="Q21" i="1"/>
  <c r="Q22" i="1"/>
  <c r="Q23" i="1"/>
  <c r="Q24" i="1"/>
  <c r="Q25" i="1"/>
  <c r="Q26" i="1"/>
  <c r="Q27" i="1"/>
  <c r="Q9" i="1" l="1"/>
  <c r="D18" i="3" s="1"/>
  <c r="M10" i="1"/>
  <c r="N10" i="1"/>
  <c r="O10" i="1"/>
  <c r="P10" i="1"/>
  <c r="M11" i="1"/>
  <c r="N11" i="1"/>
  <c r="O11" i="1"/>
  <c r="P11" i="1"/>
  <c r="M12" i="1"/>
  <c r="N12" i="1"/>
  <c r="O12" i="1"/>
  <c r="P12" i="1"/>
  <c r="M13" i="1"/>
  <c r="N13" i="1"/>
  <c r="O13" i="1"/>
  <c r="P13" i="1"/>
  <c r="M14" i="1"/>
  <c r="N14" i="1"/>
  <c r="O14" i="1"/>
  <c r="P14" i="1"/>
  <c r="M15" i="1"/>
  <c r="N15" i="1"/>
  <c r="O15" i="1"/>
  <c r="P15" i="1"/>
  <c r="M16" i="1"/>
  <c r="N16" i="1"/>
  <c r="O16" i="1"/>
  <c r="P16" i="1"/>
  <c r="M17" i="1"/>
  <c r="N17" i="1"/>
  <c r="O17" i="1"/>
  <c r="P17" i="1"/>
  <c r="M18" i="1"/>
  <c r="N18" i="1"/>
  <c r="O18" i="1"/>
  <c r="P18" i="1"/>
  <c r="M19" i="1"/>
  <c r="N19" i="1"/>
  <c r="O19" i="1"/>
  <c r="P19" i="1"/>
  <c r="M20" i="1"/>
  <c r="N20" i="1"/>
  <c r="O20" i="1"/>
  <c r="P20" i="1"/>
  <c r="M21" i="1"/>
  <c r="N21" i="1"/>
  <c r="O21" i="1"/>
  <c r="P21" i="1"/>
  <c r="M22" i="1"/>
  <c r="N22" i="1"/>
  <c r="O22" i="1"/>
  <c r="P22" i="1"/>
  <c r="M23" i="1"/>
  <c r="N23" i="1"/>
  <c r="O23" i="1"/>
  <c r="P23" i="1"/>
  <c r="M25" i="1"/>
  <c r="N25" i="1"/>
  <c r="O25" i="1"/>
  <c r="P25" i="1"/>
  <c r="M26" i="1"/>
  <c r="N26" i="1"/>
  <c r="O26" i="1"/>
  <c r="P26" i="1"/>
  <c r="M27" i="1"/>
  <c r="N27" i="1"/>
  <c r="O27" i="1"/>
  <c r="P27" i="1"/>
  <c r="P9" i="1"/>
  <c r="O9" i="1"/>
  <c r="N9" i="1"/>
  <c r="M9" i="1"/>
  <c r="L10" i="1"/>
  <c r="L11" i="1"/>
  <c r="L12" i="1"/>
  <c r="L13" i="1"/>
  <c r="L14" i="1"/>
  <c r="L15" i="1"/>
  <c r="L16" i="1"/>
  <c r="L17" i="1"/>
  <c r="L18" i="1"/>
  <c r="L19" i="1"/>
  <c r="L20" i="1"/>
  <c r="L21" i="1"/>
  <c r="L22" i="1"/>
  <c r="L23" i="1"/>
  <c r="L25" i="1"/>
  <c r="L26" i="1"/>
  <c r="L9" i="1"/>
  <c r="B6" i="4" l="1"/>
  <c r="B8" i="4" l="1"/>
  <c r="B7" i="4"/>
  <c r="B5" i="4"/>
  <c r="D2" i="4"/>
  <c r="D17" i="3" s="1"/>
  <c r="B1" i="4"/>
  <c r="J30" i="3" s="1"/>
  <c r="B34" i="1" l="1"/>
  <c r="J2" i="1"/>
  <c r="G5" i="1"/>
  <c r="B19" i="3"/>
  <c r="B18" i="3"/>
  <c r="I27" i="3"/>
  <c r="I28" i="3" s="1"/>
  <c r="H27" i="3"/>
  <c r="H28" i="3" s="1"/>
  <c r="G27" i="3"/>
  <c r="G28" i="3" s="1"/>
  <c r="F27" i="3"/>
  <c r="F28" i="3" s="1"/>
  <c r="E27" i="3"/>
  <c r="E28" i="3" s="1"/>
  <c r="D27" i="3"/>
  <c r="D28" i="3" s="1"/>
  <c r="C27" i="3"/>
  <c r="C28" i="3" s="1"/>
  <c r="B27" i="3"/>
  <c r="B28" i="3" s="1"/>
  <c r="M22" i="3"/>
  <c r="M23" i="3" s="1"/>
  <c r="L22" i="3"/>
  <c r="L23" i="3" s="1"/>
  <c r="K22" i="3"/>
  <c r="K23" i="3" s="1"/>
  <c r="J22" i="3"/>
  <c r="J23" i="3" s="1"/>
  <c r="I22" i="3"/>
  <c r="I23" i="3" s="1"/>
  <c r="H22" i="3"/>
  <c r="H23" i="3" s="1"/>
  <c r="G22" i="3"/>
  <c r="G23" i="3" s="1"/>
  <c r="F22" i="3"/>
  <c r="F23" i="3" s="1"/>
  <c r="E22" i="3"/>
  <c r="E23" i="3" s="1"/>
  <c r="D22" i="3"/>
  <c r="D23" i="3" s="1"/>
  <c r="C22" i="3"/>
  <c r="C23" i="3" s="1"/>
  <c r="B22" i="3"/>
  <c r="B23" i="3" s="1"/>
  <c r="G29" i="1"/>
  <c r="J29" i="1"/>
  <c r="I29" i="1"/>
  <c r="H29" i="1"/>
  <c r="B24" i="3" l="1"/>
  <c r="B29" i="3"/>
  <c r="C10" i="1"/>
  <c r="I16" i="1" s="1"/>
  <c r="C11" i="1"/>
  <c r="B29" i="1" s="1"/>
  <c r="C12" i="1"/>
  <c r="B33" i="1" s="1"/>
  <c r="C13" i="1"/>
  <c r="I26" i="1" s="1"/>
  <c r="C7" i="1"/>
  <c r="C8" i="1"/>
  <c r="I20" i="1" s="1"/>
  <c r="C9" i="1"/>
  <c r="B18" i="1" s="1"/>
  <c r="G4" i="1"/>
  <c r="B17" i="3" l="1"/>
  <c r="D2" i="1" s="1"/>
  <c r="I9" i="1"/>
  <c r="G37" i="1"/>
  <c r="I13" i="1"/>
  <c r="I21" i="1"/>
  <c r="I15" i="1"/>
  <c r="I22" i="1"/>
  <c r="I18" i="1"/>
  <c r="I10" i="1"/>
  <c r="B28" i="1" s="1"/>
  <c r="I25" i="1"/>
  <c r="I11" i="1"/>
  <c r="I24" i="1"/>
  <c r="I17" i="1"/>
  <c r="I12" i="1"/>
  <c r="I19" i="1"/>
  <c r="I14" i="1"/>
  <c r="I23" i="1"/>
  <c r="B26" i="1"/>
  <c r="B22" i="1"/>
  <c r="B21" i="1"/>
  <c r="B20" i="1"/>
  <c r="B19" i="1"/>
  <c r="B17" i="1"/>
  <c r="D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Cody</author>
  </authors>
  <commentList>
    <comment ref="Q8" authorId="0" shapeId="0" xr:uid="{A4050DFE-1CC2-4631-9491-CFC6C6381A65}">
      <text>
        <r>
          <rPr>
            <sz val="8"/>
            <color indexed="81"/>
            <rFont val="Tahoma"/>
            <family val="2"/>
          </rPr>
          <t>Change this if you received it for free.</t>
        </r>
      </text>
    </comment>
    <comment ref="F37" authorId="0" shapeId="0" xr:uid="{DC4BCD34-970F-45BA-93CB-70DD8A483CCC}">
      <text>
        <r>
          <rPr>
            <sz val="9"/>
            <color indexed="81"/>
            <rFont val="Tahoma"/>
            <family val="2"/>
          </rPr>
          <t xml:space="preserve">Pg 218
</t>
        </r>
      </text>
    </comment>
  </commentList>
</comments>
</file>

<file path=xl/sharedStrings.xml><?xml version="1.0" encoding="utf-8"?>
<sst xmlns="http://schemas.openxmlformats.org/spreadsheetml/2006/main" count="795" uniqueCount="371">
  <si>
    <t>Name</t>
  </si>
  <si>
    <t>Tier</t>
  </si>
  <si>
    <t>Rank</t>
  </si>
  <si>
    <t>Rank Bonus</t>
  </si>
  <si>
    <t>Attributes</t>
  </si>
  <si>
    <t>Strength</t>
  </si>
  <si>
    <t>Agility</t>
  </si>
  <si>
    <t>Toughness</t>
  </si>
  <si>
    <t>Intellect</t>
  </si>
  <si>
    <t>Willpower</t>
  </si>
  <si>
    <t>Fellowship</t>
  </si>
  <si>
    <t>Initiative</t>
  </si>
  <si>
    <t>Rating</t>
  </si>
  <si>
    <t>Adjusted</t>
  </si>
  <si>
    <t>Build Points</t>
  </si>
  <si>
    <t>Race</t>
  </si>
  <si>
    <t>BP Cost</t>
  </si>
  <si>
    <t>Speed</t>
  </si>
  <si>
    <t>Abilities</t>
  </si>
  <si>
    <t>Human</t>
  </si>
  <si>
    <t>Eldar</t>
  </si>
  <si>
    <t>Ork</t>
  </si>
  <si>
    <t>Adeptus Astartes</t>
  </si>
  <si>
    <t>Primaris Astartes</t>
  </si>
  <si>
    <t>None</t>
  </si>
  <si>
    <t>Combat Traits</t>
  </si>
  <si>
    <t>Trait</t>
  </si>
  <si>
    <t>Defense</t>
  </si>
  <si>
    <t>Resilience</t>
  </si>
  <si>
    <t>Soak</t>
  </si>
  <si>
    <t>Shock</t>
  </si>
  <si>
    <t>Wounds</t>
  </si>
  <si>
    <t>Current</t>
  </si>
  <si>
    <t>Mental Traits</t>
  </si>
  <si>
    <t>Social Traits</t>
  </si>
  <si>
    <t>Conviction</t>
  </si>
  <si>
    <t>Corruption</t>
  </si>
  <si>
    <t>Pas. Aware</t>
  </si>
  <si>
    <t>Resolve</t>
  </si>
  <si>
    <t>Influence</t>
  </si>
  <si>
    <t>Wealth</t>
  </si>
  <si>
    <t>Framework</t>
  </si>
  <si>
    <t>Species</t>
  </si>
  <si>
    <t>Archetype</t>
  </si>
  <si>
    <t>Archetype Ability</t>
  </si>
  <si>
    <t>Skills</t>
  </si>
  <si>
    <t>Skill</t>
  </si>
  <si>
    <t>Linked Attribute</t>
  </si>
  <si>
    <t>Total</t>
  </si>
  <si>
    <t>Athletics</t>
  </si>
  <si>
    <t>Awareness</t>
  </si>
  <si>
    <t>Ballistic Skill</t>
  </si>
  <si>
    <t>Cunning</t>
  </si>
  <si>
    <t>Deception</t>
  </si>
  <si>
    <t>Insight</t>
  </si>
  <si>
    <t>Intimidation</t>
  </si>
  <si>
    <t>Investigation</t>
  </si>
  <si>
    <t>Leadership</t>
  </si>
  <si>
    <t>Medicae</t>
  </si>
  <si>
    <t>Persuasion</t>
  </si>
  <si>
    <t>Pilot</t>
  </si>
  <si>
    <t>Psychic Mastery</t>
  </si>
  <si>
    <t>Scholar</t>
  </si>
  <si>
    <t>Stealth</t>
  </si>
  <si>
    <t>Survival</t>
  </si>
  <si>
    <t>Tech</t>
  </si>
  <si>
    <t>Weapon Skill</t>
  </si>
  <si>
    <t>Species Abilities</t>
  </si>
  <si>
    <t>Outsider, Intense Emotion, Psycho-sensitive. +1 Agility</t>
  </si>
  <si>
    <t>Outsider, Orky, Bigger is Better. +1 Toughness</t>
  </si>
  <si>
    <t>Space Marine Implants, Honour the Chapter, Angel of Death. +1 Strength, Agility, Toughness, and Resolve</t>
  </si>
  <si>
    <t>Space Marine Implants, Honour the Chapter (Primaris), Angel of Death. +1 Agility, Toughness, and Resolve. +2 Strength. +4 Wounds.</t>
  </si>
  <si>
    <t>Don't fuck with these. Advanced users only.</t>
  </si>
  <si>
    <t>Armour</t>
  </si>
  <si>
    <t>Weapon 1</t>
  </si>
  <si>
    <t>Weapon 2</t>
  </si>
  <si>
    <t>Weapon 3</t>
  </si>
  <si>
    <t>Weapon 4</t>
  </si>
  <si>
    <t>Traits</t>
  </si>
  <si>
    <t>Keywords</t>
  </si>
  <si>
    <t>Value</t>
  </si>
  <si>
    <t>Damage</t>
  </si>
  <si>
    <t>AP</t>
  </si>
  <si>
    <t>Range</t>
  </si>
  <si>
    <t>Salvo</t>
  </si>
  <si>
    <t>Bodyglove</t>
  </si>
  <si>
    <t>Carapace Armour</t>
  </si>
  <si>
    <t>Flak Armour</t>
  </si>
  <si>
    <t>Flak Coat</t>
  </si>
  <si>
    <t>Mesh Armour</t>
  </si>
  <si>
    <t>Primitive Armour</t>
  </si>
  <si>
    <t>Skitarii Auto-Cuirass</t>
  </si>
  <si>
    <t>Tempestus Carapace</t>
  </si>
  <si>
    <t>Heavy Power Armour</t>
  </si>
  <si>
    <t>Ignatus Power Armour</t>
  </si>
  <si>
    <t>Light Power Armour</t>
  </si>
  <si>
    <t>Sororitas Power Armour</t>
  </si>
  <si>
    <t>Aquila Mk VIII</t>
  </si>
  <si>
    <t>Scout Armour</t>
  </si>
  <si>
    <t>Tacticus Mk X</t>
  </si>
  <si>
    <t>Terminator Armour</t>
  </si>
  <si>
    <t>Refractor Field</t>
  </si>
  <si>
    <t>Rosarius</t>
  </si>
  <si>
    <t>Storm Shield</t>
  </si>
  <si>
    <t>Corsair Armour</t>
  </si>
  <si>
    <t>Eldar Mesh Armour</t>
  </si>
  <si>
    <t>Heavy Mesh Armour</t>
  </si>
  <si>
    <t>Shimmershield</t>
  </si>
  <si>
    <t>Rune Armour</t>
  </si>
  <si>
    <t>Voidplate Harness</t>
  </si>
  <si>
    <t>Eavy Armour</t>
  </si>
  <si>
    <t>Mega Armour</t>
  </si>
  <si>
    <t>Ork Flak</t>
  </si>
  <si>
    <t>Bulk (1)</t>
  </si>
  <si>
    <t>Bulk (2)</t>
  </si>
  <si>
    <t>Bulk (1), Cumbersome, Powered (3)</t>
  </si>
  <si>
    <t>Powered (2)</t>
  </si>
  <si>
    <t>Powered (1)</t>
  </si>
  <si>
    <t>Powered (3)</t>
  </si>
  <si>
    <t>Powered (4)</t>
  </si>
  <si>
    <t>Powered (5), Cumbersome</t>
  </si>
  <si>
    <t>Force Shield</t>
  </si>
  <si>
    <t>Bulk (1), Force Shield, Shield</t>
  </si>
  <si>
    <t>Force Shield, Shield</t>
  </si>
  <si>
    <t>Ere We Go, Cumbersome, Powered (4)</t>
  </si>
  <si>
    <t>Ere We Go, Bulk (1)</t>
  </si>
  <si>
    <t>3 Rare</t>
  </si>
  <si>
    <t>5 Uncommon</t>
  </si>
  <si>
    <t>4 Common</t>
  </si>
  <si>
    <t>4 Uncommon</t>
  </si>
  <si>
    <t>2 Common</t>
  </si>
  <si>
    <t>5 Rare</t>
  </si>
  <si>
    <t>6 Very Rare</t>
  </si>
  <si>
    <t>8 Very Rare</t>
  </si>
  <si>
    <t>7 Very Rare</t>
  </si>
  <si>
    <t>9 Very Rare</t>
  </si>
  <si>
    <t>10 Unique</t>
  </si>
  <si>
    <t>8 Unique</t>
  </si>
  <si>
    <t>4 Very Rare</t>
  </si>
  <si>
    <t>7 Unique</t>
  </si>
  <si>
    <t>6 Unique</t>
  </si>
  <si>
    <t>7 Rare</t>
  </si>
  <si>
    <t>3 Uncommon</t>
  </si>
  <si>
    <t>2 Uncommon</t>
  </si>
  <si>
    <t>Attribute</t>
  </si>
  <si>
    <t>Note</t>
  </si>
  <si>
    <t>Unarmoured</t>
  </si>
  <si>
    <t>Character Creation</t>
  </si>
  <si>
    <t>BPs:</t>
  </si>
  <si>
    <t>Attrib Value</t>
  </si>
  <si>
    <t>Total BP</t>
  </si>
  <si>
    <t>Incremental</t>
  </si>
  <si>
    <t>Skill Value</t>
  </si>
  <si>
    <t>Count-1</t>
  </si>
  <si>
    <t>Count-2</t>
  </si>
  <si>
    <t>Count-3</t>
  </si>
  <si>
    <t>Count-4</t>
  </si>
  <si>
    <t>Count-5</t>
  </si>
  <si>
    <t>Count-6</t>
  </si>
  <si>
    <t>Count-7</t>
  </si>
  <si>
    <t>Count-8</t>
  </si>
  <si>
    <t>Count-9</t>
  </si>
  <si>
    <t>Count-10</t>
  </si>
  <si>
    <t>Count-11</t>
  </si>
  <si>
    <t>Count-12</t>
  </si>
  <si>
    <t>Skill Sum</t>
  </si>
  <si>
    <t>CountCost</t>
  </si>
  <si>
    <t>Attribute Sum</t>
  </si>
  <si>
    <t>Ability</t>
  </si>
  <si>
    <t>Wargear</t>
  </si>
  <si>
    <t>Ministorum Priest</t>
  </si>
  <si>
    <t>Death Cult Assassin</t>
  </si>
  <si>
    <t>Crusader</t>
  </si>
  <si>
    <t>Sister Hospitaller</t>
  </si>
  <si>
    <t>Sister of Battle</t>
  </si>
  <si>
    <t>Imperial Guardsman</t>
  </si>
  <si>
    <t>Tempestus Scion</t>
  </si>
  <si>
    <t>Imperial Commissar</t>
  </si>
  <si>
    <t>Space Marine Scout</t>
  </si>
  <si>
    <t>Tactical Space Marine</t>
  </si>
  <si>
    <t>Primaris Marine Intercessor</t>
  </si>
  <si>
    <t>Inquisitional Acolyte</t>
  </si>
  <si>
    <t>Inquisitorial Adept</t>
  </si>
  <si>
    <t>Rogue Trader</t>
  </si>
  <si>
    <t>Sanctioned Psyker</t>
  </si>
  <si>
    <t>Inquisitor</t>
  </si>
  <si>
    <t>Skitarius</t>
  </si>
  <si>
    <t>Tech-Priest</t>
  </si>
  <si>
    <t>Ganger</t>
  </si>
  <si>
    <t>Scavvy</t>
  </si>
  <si>
    <t>Desperado</t>
  </si>
  <si>
    <t>Cultist</t>
  </si>
  <si>
    <t>Rogue Psyker</t>
  </si>
  <si>
    <t>Chaos Space Marine</t>
  </si>
  <si>
    <t>Heretek</t>
  </si>
  <si>
    <t>Corsair</t>
  </si>
  <si>
    <t>Ranger</t>
  </si>
  <si>
    <t>Warlock</t>
  </si>
  <si>
    <t>Ork Boy</t>
  </si>
  <si>
    <t>Kommando</t>
  </si>
  <si>
    <t>Ork Nob</t>
  </si>
  <si>
    <t>Imperium, Astra Militarum, Militarum Tempestus</t>
  </si>
  <si>
    <t>Keyword</t>
  </si>
  <si>
    <t>Imperium, Adeptus Ministorum</t>
  </si>
  <si>
    <t>Imperium, Adeptus Ministorum, Adepta Sororitas, &lt;ORDER&gt;</t>
  </si>
  <si>
    <t>Imperium, Astra Militarum, Offico Prefectus</t>
  </si>
  <si>
    <t>Imperium, Astra Militarum, &lt;REGIMENT&gt;</t>
  </si>
  <si>
    <t>Imperium, Inquisition, &lt;ANY&gt;, &lt;ORDO&gt;</t>
  </si>
  <si>
    <t>Imperium, Inquisition, &lt;ORDO&gt;</t>
  </si>
  <si>
    <t>Imperium, Rogue Trader, &lt;Dynasty&gt;</t>
  </si>
  <si>
    <t>Imperium, Adeptus Astra Telepathica, Psyker, Scholastica Psykana</t>
  </si>
  <si>
    <t>Imperium, Adeptus Astartes, &lt;CHAPTER&gt;</t>
  </si>
  <si>
    <t>Imperium, Adeptus Astartes, Primaris, &lt;CHAPTER&gt;</t>
  </si>
  <si>
    <t>Imperium, Adeptus Mechanicus, Skitarii, &lt;FORGE WORLD&gt;</t>
  </si>
  <si>
    <t>Imperium, Adeptus Mechanicus, Cult Mechanicus, &lt;FORGE WORLD&gt;</t>
  </si>
  <si>
    <t>Scum, &lt;ANY&gt;</t>
  </si>
  <si>
    <t>Chaos, Heretic Astartes, &lt;MARK OF CHAOS&gt;, &lt;ANY&gt;</t>
  </si>
  <si>
    <t>Chaos, Heretic, Adeptus Mechanicus, Dark Mechanicus</t>
  </si>
  <si>
    <t>Heretic, Chaos, &lt;MARK OF CHAOS&gt;, Heretic Astartes, &lt;LEGION&gt;</t>
  </si>
  <si>
    <t>Heretic, Chaos, Psyker</t>
  </si>
  <si>
    <t>Aeldari, Anhrathe, &lt;COTERIE&gt;</t>
  </si>
  <si>
    <t>Aeldari, Asuryani, &lt;CRAFTWORLD&gt;</t>
  </si>
  <si>
    <t>Aeldari, Asuryani, Psyker, &lt;CRAFTWORLD&gt;</t>
  </si>
  <si>
    <t>Ork, &lt;CLAN&gt;</t>
  </si>
  <si>
    <t>See influence, adjusted attributes, BP, etc</t>
  </si>
  <si>
    <t>Influence is tied to FEL - Ork and AdMech characters use Str and INT.</t>
  </si>
  <si>
    <t>Many things are auto-calculated but are intended to be edited wholly afterwards</t>
  </si>
  <si>
    <t>Weapons are not auto filled in due to database entry laziness. Armour lacks keywords.</t>
  </si>
  <si>
    <t>Unarmed Strike</t>
  </si>
  <si>
    <t>Melee</t>
  </si>
  <si>
    <t>-</t>
  </si>
  <si>
    <t>Base Tier</t>
  </si>
  <si>
    <t>Ascending Tier</t>
  </si>
  <si>
    <t>Ascension</t>
  </si>
  <si>
    <t>Stay the Course</t>
  </si>
  <si>
    <t>Cost Per Tier</t>
  </si>
  <si>
    <t>Psychic Revelation</t>
  </si>
  <si>
    <t>Influence Bonus</t>
  </si>
  <si>
    <t>Total Cost</t>
  </si>
  <si>
    <t>Tier_Diff</t>
  </si>
  <si>
    <t>Benefits</t>
  </si>
  <si>
    <t>Keywords:</t>
  </si>
  <si>
    <t>Influence/Tier:</t>
  </si>
  <si>
    <t>Story</t>
  </si>
  <si>
    <t>Psyker</t>
  </si>
  <si>
    <t>&lt;ANY&gt;</t>
  </si>
  <si>
    <t>The character gains their choice of either 3 Corruption points or a Memorable Injury (see page 233) of their choice—and the +1D Bonus to Intimidation that comes with it— from the Table 4-4: Memorable Injury.</t>
  </si>
  <si>
    <t>Select either two items of Rare Wargear or one item of Very Rare Wargear with a value equal or lesser than 3 + the new Tier. This may include cybernetics.</t>
  </si>
  <si>
    <t>Wargear:</t>
  </si>
  <si>
    <t>Story:</t>
  </si>
  <si>
    <t>Psyker: The character gains the smite psychic power. They also may choose one Minor Psychic power per Tier ascended and may purchase powers from one Discipline of their choice. The character must purchase the Psychic Mastery Skill.</t>
  </si>
  <si>
    <t>Ascension PG 196.</t>
  </si>
  <si>
    <t>Purity of Faith: Sisters of Battle and any allies within 15 metres and line of sight add +Rank to Corruption tests. Sisters of Battle gain +Rank to any dice pool to resist psychic powers and effects.</t>
  </si>
  <si>
    <t>The Keywords Box can be edited, but you'll have to type it all in if you do that.</t>
  </si>
  <si>
    <t>Dancing on the Blade’s Edge: Choose one of the following Interaction Attacks: Athletics or Persuasion. Corsairs get +Rank to the chosen Interaction Attack and get the same bonus for resisting those same attacks. Corsairs suffer a +1DN penalty to any Fear test.</t>
  </si>
  <si>
    <t>The software will not ensure you are within restrictions. Follow the rules.</t>
  </si>
  <si>
    <t>Background:</t>
  </si>
  <si>
    <t>Backgrounds currently unsupported.</t>
  </si>
  <si>
    <t>Powers</t>
  </si>
  <si>
    <t>Power</t>
  </si>
  <si>
    <t>DN</t>
  </si>
  <si>
    <t>Discipline</t>
  </si>
  <si>
    <t>Cost</t>
  </si>
  <si>
    <t>Duration</t>
  </si>
  <si>
    <t>Activation</t>
  </si>
  <si>
    <t>Multi-Target</t>
  </si>
  <si>
    <t>Chameleon</t>
  </si>
  <si>
    <t>Compel</t>
  </si>
  <si>
    <t>Conceal Phenomena</t>
  </si>
  <si>
    <t>Create Flame</t>
  </si>
  <si>
    <t>Dull Pain</t>
  </si>
  <si>
    <t>Flash Bang</t>
  </si>
  <si>
    <t>Fortune</t>
  </si>
  <si>
    <t>Inflict Pain</t>
  </si>
  <si>
    <t>Jam Mechanism</t>
  </si>
  <si>
    <t>Levitation</t>
  </si>
  <si>
    <t>Orb</t>
  </si>
  <si>
    <t>Phantom Grip</t>
  </si>
  <si>
    <t>Psyniscience</t>
  </si>
  <si>
    <t>Shove</t>
  </si>
  <si>
    <t>Voices</t>
  </si>
  <si>
    <t>Action</t>
  </si>
  <si>
    <t>2 Simple Actions</t>
  </si>
  <si>
    <t>Full Action</t>
  </si>
  <si>
    <t>Move Action</t>
  </si>
  <si>
    <t>Simple Action</t>
  </si>
  <si>
    <t>Sustained</t>
  </si>
  <si>
    <t>1 Round</t>
  </si>
  <si>
    <t>Instant</t>
  </si>
  <si>
    <t>Self</t>
  </si>
  <si>
    <t>5 Meters</t>
  </si>
  <si>
    <t>25 Meters</t>
  </si>
  <si>
    <t>10 Meters</t>
  </si>
  <si>
    <t>100 Meters</t>
  </si>
  <si>
    <t>15 Meters</t>
  </si>
  <si>
    <t>Yes</t>
  </si>
  <si>
    <t>No</t>
  </si>
  <si>
    <t>Psychic</t>
  </si>
  <si>
    <t>Fire, Psychic</t>
  </si>
  <si>
    <t>Auditory, Light, Psychic</t>
  </si>
  <si>
    <t>Kinetic, Psychic</t>
  </si>
  <si>
    <t>Electric, Psychic</t>
  </si>
  <si>
    <t>Auditory, Psychic</t>
  </si>
  <si>
    <t>Minor</t>
  </si>
  <si>
    <t>Smite</t>
  </si>
  <si>
    <t>35 Meters</t>
  </si>
  <si>
    <t>Universal</t>
  </si>
  <si>
    <t>Psykers</t>
  </si>
  <si>
    <t>Power Name</t>
  </si>
  <si>
    <t>Enfeeble</t>
  </si>
  <si>
    <t>Life Leech</t>
  </si>
  <si>
    <t>Living Lightning</t>
  </si>
  <si>
    <t>Phantom Form</t>
  </si>
  <si>
    <t>Regenerate</t>
  </si>
  <si>
    <t>Forewarning</t>
  </si>
  <si>
    <t>Glimpse The Future</t>
  </si>
  <si>
    <t>Prophetic Visions</t>
  </si>
  <si>
    <t>Scry</t>
  </si>
  <si>
    <t>Omens of Doom</t>
  </si>
  <si>
    <t>Fiery Form</t>
  </si>
  <si>
    <t>Gout of Flame</t>
  </si>
  <si>
    <t>Molten Beam</t>
  </si>
  <si>
    <t>Spontaneous Combustion</t>
  </si>
  <si>
    <t>Wall of Flame</t>
  </si>
  <si>
    <t>Assail</t>
  </si>
  <si>
    <t>Crush</t>
  </si>
  <si>
    <t>Flight</t>
  </si>
  <si>
    <t>Force Field</t>
  </si>
  <si>
    <t>Shockwave</t>
  </si>
  <si>
    <t>Fog the Mind</t>
  </si>
  <si>
    <t>Mind Probe</t>
  </si>
  <si>
    <t>Psychic Shriek</t>
  </si>
  <si>
    <t>Telepathy</t>
  </si>
  <si>
    <t>Terrify</t>
  </si>
  <si>
    <t>Willpower (Opposed)</t>
  </si>
  <si>
    <t>30 Minutes</t>
  </si>
  <si>
    <t>20 Minutes</t>
  </si>
  <si>
    <t>1 Combat</t>
  </si>
  <si>
    <t>1 Scene</t>
  </si>
  <si>
    <t>5 Kilometers</t>
  </si>
  <si>
    <t>Biomancy</t>
  </si>
  <si>
    <t>Divination</t>
  </si>
  <si>
    <t>30 Meters</t>
  </si>
  <si>
    <t>A</t>
  </si>
  <si>
    <t>20 Meters</t>
  </si>
  <si>
    <t>50 Meters</t>
  </si>
  <si>
    <t>Telepathy, Psychic</t>
  </si>
  <si>
    <t>Pyromancy</t>
  </si>
  <si>
    <t>Telekinesis</t>
  </si>
  <si>
    <t>Boil Blood</t>
  </si>
  <si>
    <t>Puppet Master</t>
  </si>
  <si>
    <t>Soul Shrivel</t>
  </si>
  <si>
    <t>Touch of Corruption</t>
  </si>
  <si>
    <t>Waking Nightmare</t>
  </si>
  <si>
    <t>Conceal/Reveal</t>
  </si>
  <si>
    <t>Embolden/Horrify</t>
  </si>
  <si>
    <t>Empower/Enervate</t>
  </si>
  <si>
    <t>Enhance/Drain</t>
  </si>
  <si>
    <t>Protect/Jinx</t>
  </si>
  <si>
    <t>Quicken/Delay</t>
  </si>
  <si>
    <t>Touch</t>
  </si>
  <si>
    <t>Chaos, Psychic</t>
  </si>
  <si>
    <t>Aeldari, Psychic</t>
  </si>
  <si>
    <t>Maleficarum</t>
  </si>
  <si>
    <t>Runes of Battle</t>
  </si>
  <si>
    <t>Target Defense</t>
  </si>
  <si>
    <t>Target Willpower</t>
  </si>
  <si>
    <t>(Mechanics Unsupported)</t>
  </si>
  <si>
    <t>Light, Aeldari, Anhrathe</t>
  </si>
  <si>
    <t>Light, Aeldari, Asuryani</t>
  </si>
  <si>
    <t>Aeldari, Anhrathe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</si>
</sst>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3"/>
      <color theme="3"/>
      <name val="Calibri"/>
      <family val="2"/>
      <scheme val="minor"/>
    </font>
    <font>
      <sz val="11"/>
      <color rgb="FF3F3F76"/>
      <name val="Calibri"/>
      <family val="2"/>
      <scheme val="minor"/>
    </font>
    <font>
      <b/>
      <sz val="11"/>
      <color rgb="FFFA7D00"/>
      <name val="Calibri"/>
      <family val="2"/>
      <scheme val="minor"/>
    </font>
    <font>
      <sz val="11"/>
      <color rgb="FFFF0000"/>
      <name val="Calibri"/>
      <family val="2"/>
      <scheme val="minor"/>
    </font>
    <font>
      <b/>
      <sz val="11"/>
      <color theme="1"/>
      <name val="Calibri"/>
      <family val="2"/>
      <scheme val="minor"/>
    </font>
    <font>
      <b/>
      <sz val="12"/>
      <color rgb="FFFF0000"/>
      <name val="Calibri"/>
      <family val="2"/>
      <scheme val="minor"/>
    </font>
    <font>
      <sz val="9"/>
      <color indexed="81"/>
      <name val="Tahoma"/>
      <family val="2"/>
    </font>
    <font>
      <sz val="11"/>
      <color theme="1"/>
      <name val="Calibri"/>
      <family val="2"/>
      <scheme val="minor"/>
    </font>
    <font>
      <sz val="10"/>
      <color theme="1"/>
      <name val="Calibri"/>
      <family val="2"/>
      <scheme val="minor"/>
    </font>
    <font>
      <b/>
      <sz val="11"/>
      <color rgb="FF00B050"/>
      <name val="Calibri"/>
      <family val="2"/>
      <scheme val="minor"/>
    </font>
    <font>
      <sz val="12"/>
      <color theme="1"/>
      <name val="Calibri"/>
      <family val="2"/>
      <scheme val="minor"/>
    </font>
    <font>
      <sz val="8"/>
      <color indexed="81"/>
      <name val="Tahoma"/>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s>
  <borders count="27">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ck">
        <color theme="4"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ck">
        <color theme="4" tint="0.499984740745262"/>
      </bottom>
      <diagonal/>
    </border>
    <border>
      <left/>
      <right/>
      <top style="thin">
        <color indexed="64"/>
      </top>
      <bottom style="thick">
        <color theme="4" tint="0.499984740745262"/>
      </bottom>
      <diagonal/>
    </border>
    <border>
      <left/>
      <right style="thin">
        <color indexed="64"/>
      </right>
      <top style="thin">
        <color indexed="64"/>
      </top>
      <bottom style="thick">
        <color theme="4" tint="0.499984740745262"/>
      </bottom>
      <diagonal/>
    </border>
    <border>
      <left style="thin">
        <color indexed="64"/>
      </left>
      <right/>
      <top/>
      <bottom/>
      <diagonal/>
    </border>
    <border>
      <left/>
      <right style="thin">
        <color indexed="64"/>
      </right>
      <top/>
      <bottom/>
      <diagonal/>
    </border>
    <border>
      <left style="thin">
        <color indexed="64"/>
      </left>
      <right style="thin">
        <color rgb="FF7F7F7F"/>
      </right>
      <top style="thin">
        <color rgb="FF7F7F7F"/>
      </top>
      <bottom style="thin">
        <color rgb="FF7F7F7F"/>
      </bottom>
      <diagonal/>
    </border>
    <border>
      <left style="thin">
        <color indexed="64"/>
      </left>
      <right style="thin">
        <color rgb="FF7F7F7F"/>
      </right>
      <top style="thin">
        <color rgb="FF7F7F7F"/>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indexed="64"/>
      </right>
      <top style="thin">
        <color rgb="FF7F7F7F"/>
      </top>
      <bottom style="thin">
        <color rgb="FF7F7F7F"/>
      </bottom>
      <diagonal/>
    </border>
    <border>
      <left style="thin">
        <color indexed="64"/>
      </left>
      <right/>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style="thin">
        <color indexed="64"/>
      </right>
      <top style="thin">
        <color rgb="FF7F7F7F"/>
      </top>
      <bottom style="thin">
        <color indexed="64"/>
      </bottom>
      <diagonal/>
    </border>
    <border>
      <left style="thin">
        <color rgb="FF7F7F7F"/>
      </left>
      <right style="thin">
        <color rgb="FF7F7F7F"/>
      </right>
      <top style="thin">
        <color rgb="FF7F7F7F"/>
      </top>
      <bottom/>
      <diagonal/>
    </border>
    <border>
      <left/>
      <right style="thin">
        <color indexed="64"/>
      </right>
      <top style="thick">
        <color theme="4" tint="0.499984740745262"/>
      </top>
      <bottom/>
      <diagonal/>
    </border>
    <border>
      <left style="thin">
        <color indexed="64"/>
      </left>
      <right style="thin">
        <color rgb="FFB2B2B2"/>
      </right>
      <top style="thin">
        <color rgb="FFB2B2B2"/>
      </top>
      <bottom style="thin">
        <color rgb="FFB2B2B2"/>
      </bottom>
      <diagonal/>
    </border>
    <border>
      <left style="thin">
        <color rgb="FFB2B2B2"/>
      </left>
      <right style="thin">
        <color indexed="64"/>
      </right>
      <top style="thin">
        <color rgb="FFB2B2B2"/>
      </top>
      <bottom style="thin">
        <color rgb="FFB2B2B2"/>
      </bottom>
      <diagonal/>
    </border>
    <border>
      <left style="thin">
        <color indexed="64"/>
      </left>
      <right style="thin">
        <color rgb="FFB2B2B2"/>
      </right>
      <top style="thin">
        <color rgb="FFB2B2B2"/>
      </top>
      <bottom style="thin">
        <color indexed="64"/>
      </bottom>
      <diagonal/>
    </border>
    <border>
      <left style="thin">
        <color rgb="FFB2B2B2"/>
      </left>
      <right style="thin">
        <color rgb="FFB2B2B2"/>
      </right>
      <top style="thin">
        <color rgb="FFB2B2B2"/>
      </top>
      <bottom style="thin">
        <color indexed="64"/>
      </bottom>
      <diagonal/>
    </border>
    <border>
      <left style="thin">
        <color rgb="FFB2B2B2"/>
      </left>
      <right style="thin">
        <color indexed="64"/>
      </right>
      <top style="thin">
        <color rgb="FFB2B2B2"/>
      </top>
      <bottom style="thin">
        <color indexed="64"/>
      </bottom>
      <diagonal/>
    </border>
  </borders>
  <cellStyleXfs count="6">
    <xf numFmtId="0" fontId="0" fillId="0" borderId="0"/>
    <xf numFmtId="0" fontId="1" fillId="0" borderId="1" applyNumberFormat="0" applyFill="0" applyAlignment="0" applyProtection="0"/>
    <xf numFmtId="0" fontId="2" fillId="2" borderId="2" applyNumberFormat="0" applyAlignment="0" applyProtection="0"/>
    <xf numFmtId="0" fontId="3" fillId="3" borderId="2" applyNumberFormat="0" applyAlignment="0" applyProtection="0"/>
    <xf numFmtId="0" fontId="4" fillId="0" borderId="0" applyNumberFormat="0" applyFill="0" applyBorder="0" applyAlignment="0" applyProtection="0"/>
    <xf numFmtId="0" fontId="8" fillId="4" borderId="6" applyNumberFormat="0" applyFont="0" applyAlignment="0" applyProtection="0"/>
  </cellStyleXfs>
  <cellXfs count="77">
    <xf numFmtId="0" fontId="0" fillId="0" borderId="0" xfId="0"/>
    <xf numFmtId="0" fontId="0" fillId="0" borderId="0" xfId="0" applyAlignment="1">
      <alignment horizontal="center"/>
    </xf>
    <xf numFmtId="0" fontId="5" fillId="0" borderId="0" xfId="0" applyFont="1" applyAlignment="1">
      <alignment horizontal="center"/>
    </xf>
    <xf numFmtId="0" fontId="5" fillId="0" borderId="0" xfId="0" applyFont="1"/>
    <xf numFmtId="0" fontId="0" fillId="0" borderId="0" xfId="0" applyAlignment="1"/>
    <xf numFmtId="0" fontId="2" fillId="2" borderId="2" xfId="2" applyAlignment="1">
      <alignment horizontal="center"/>
    </xf>
    <xf numFmtId="0" fontId="2" fillId="2" borderId="2" xfId="2" applyAlignment="1">
      <alignment horizontal="center"/>
    </xf>
    <xf numFmtId="0" fontId="2" fillId="2" borderId="2" xfId="2"/>
    <xf numFmtId="0" fontId="3" fillId="3" borderId="2" xfId="3" applyAlignment="1">
      <alignment horizontal="center"/>
    </xf>
    <xf numFmtId="0" fontId="6" fillId="0" borderId="0" xfId="4" applyFont="1"/>
    <xf numFmtId="0" fontId="5" fillId="0" borderId="0" xfId="0" applyFont="1" applyFill="1" applyBorder="1" applyAlignment="1">
      <alignment horizontal="center"/>
    </xf>
    <xf numFmtId="0" fontId="0" fillId="0" borderId="0" xfId="0" quotePrefix="1"/>
    <xf numFmtId="0" fontId="0" fillId="0" borderId="0" xfId="0" applyAlignment="1">
      <alignment horizontal="left"/>
    </xf>
    <xf numFmtId="0" fontId="0" fillId="0" borderId="0" xfId="0" applyFont="1"/>
    <xf numFmtId="0" fontId="0" fillId="0" borderId="0" xfId="0" applyFont="1" applyAlignment="1">
      <alignment horizontal="left"/>
    </xf>
    <xf numFmtId="0" fontId="0" fillId="0" borderId="0" xfId="0" applyBorder="1" applyAlignment="1">
      <alignment vertical="center"/>
    </xf>
    <xf numFmtId="0" fontId="0" fillId="0" borderId="0" xfId="0" quotePrefix="1" applyAlignment="1">
      <alignment horizontal="center"/>
    </xf>
    <xf numFmtId="0" fontId="0" fillId="0" borderId="0" xfId="0" quotePrefix="1" applyAlignment="1">
      <alignment horizontal="left"/>
    </xf>
    <xf numFmtId="0" fontId="0" fillId="0" borderId="0" xfId="0" applyAlignment="1">
      <alignment horizontal="center"/>
    </xf>
    <xf numFmtId="0" fontId="5" fillId="0" borderId="3" xfId="0" applyFont="1" applyBorder="1" applyAlignment="1">
      <alignment horizontal="center"/>
    </xf>
    <xf numFmtId="0" fontId="0" fillId="0" borderId="0" xfId="0" applyAlignment="1">
      <alignment horizontal="center" vertical="center"/>
    </xf>
    <xf numFmtId="0" fontId="0" fillId="0" borderId="0" xfId="0" applyAlignment="1">
      <alignment vertical="center"/>
    </xf>
    <xf numFmtId="0" fontId="5" fillId="0" borderId="0" xfId="0" applyFont="1" applyAlignment="1">
      <alignment vertical="center"/>
    </xf>
    <xf numFmtId="0" fontId="9" fillId="0" borderId="0" xfId="0" applyFont="1" applyAlignment="1">
      <alignment horizontal="left"/>
    </xf>
    <xf numFmtId="0" fontId="9" fillId="0" borderId="0" xfId="0" applyFont="1"/>
    <xf numFmtId="0" fontId="10" fillId="3" borderId="2" xfId="3" applyFont="1" applyAlignment="1">
      <alignment vertical="center"/>
    </xf>
    <xf numFmtId="0" fontId="0" fillId="0" borderId="0" xfId="0" applyAlignment="1">
      <alignment horizontal="left" vertical="center"/>
    </xf>
    <xf numFmtId="0" fontId="0" fillId="0" borderId="0" xfId="0" applyFont="1" applyAlignment="1">
      <alignment horizontal="left" vertical="center"/>
    </xf>
    <xf numFmtId="0" fontId="11" fillId="0" borderId="0" xfId="0" applyFont="1" applyAlignment="1">
      <alignment horizontal="left"/>
    </xf>
    <xf numFmtId="0" fontId="11" fillId="0" borderId="0" xfId="0" applyFont="1"/>
    <xf numFmtId="0" fontId="5" fillId="0" borderId="0" xfId="0" applyFont="1" applyBorder="1" applyAlignment="1">
      <alignment horizontal="center"/>
    </xf>
    <xf numFmtId="0" fontId="5" fillId="0" borderId="11" xfId="0" applyFont="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0" fillId="0" borderId="10" xfId="0" applyBorder="1"/>
    <xf numFmtId="0" fontId="2" fillId="2" borderId="2" xfId="2" applyBorder="1" applyAlignment="1">
      <alignment horizontal="center"/>
    </xf>
    <xf numFmtId="0" fontId="3" fillId="3" borderId="16" xfId="3" applyBorder="1" applyAlignment="1">
      <alignment horizontal="center"/>
    </xf>
    <xf numFmtId="0" fontId="0" fillId="0" borderId="17" xfId="0" applyBorder="1"/>
    <xf numFmtId="0" fontId="2" fillId="2" borderId="18" xfId="2" applyBorder="1" applyAlignment="1">
      <alignment horizontal="center"/>
    </xf>
    <xf numFmtId="0" fontId="0" fillId="0" borderId="14" xfId="0" applyBorder="1" applyAlignment="1">
      <alignment horizontal="center"/>
    </xf>
    <xf numFmtId="0" fontId="3" fillId="3" borderId="19" xfId="3" applyBorder="1" applyAlignment="1">
      <alignment horizontal="center"/>
    </xf>
    <xf numFmtId="0" fontId="5" fillId="0" borderId="10" xfId="0" applyFont="1" applyBorder="1" applyAlignment="1">
      <alignment horizontal="center"/>
    </xf>
    <xf numFmtId="0" fontId="2" fillId="2" borderId="16" xfId="2" applyBorder="1" applyAlignment="1">
      <alignment horizontal="center"/>
    </xf>
    <xf numFmtId="0" fontId="0" fillId="0" borderId="15" xfId="0" applyBorder="1" applyAlignment="1">
      <alignment horizontal="center"/>
    </xf>
    <xf numFmtId="0" fontId="5" fillId="0" borderId="21" xfId="0" applyFont="1" applyBorder="1" applyAlignment="1">
      <alignment horizontal="center"/>
    </xf>
    <xf numFmtId="0" fontId="3" fillId="3" borderId="2" xfId="3" applyBorder="1" applyAlignment="1">
      <alignment horizontal="center"/>
    </xf>
    <xf numFmtId="0" fontId="3" fillId="3" borderId="18" xfId="3" applyBorder="1" applyAlignment="1">
      <alignment horizontal="center"/>
    </xf>
    <xf numFmtId="0" fontId="5" fillId="0" borderId="10" xfId="0" applyFont="1" applyBorder="1" applyAlignment="1"/>
    <xf numFmtId="0" fontId="2" fillId="2" borderId="19" xfId="2" applyBorder="1" applyAlignment="1">
      <alignment horizontal="center"/>
    </xf>
    <xf numFmtId="0" fontId="0" fillId="0" borderId="0" xfId="0" applyBorder="1"/>
    <xf numFmtId="0" fontId="0" fillId="0" borderId="0" xfId="0" applyAlignment="1">
      <alignment horizontal="center" shrinkToFit="1"/>
    </xf>
    <xf numFmtId="0" fontId="0" fillId="0" borderId="0" xfId="0" applyFont="1" applyBorder="1" applyAlignment="1">
      <alignment horizontal="center" shrinkToFit="1"/>
    </xf>
    <xf numFmtId="0" fontId="0" fillId="0" borderId="11" xfId="0" applyFont="1" applyBorder="1" applyAlignment="1">
      <alignment horizontal="center" shrinkToFit="1"/>
    </xf>
    <xf numFmtId="0" fontId="0" fillId="0" borderId="14" xfId="0" applyBorder="1" applyAlignment="1">
      <alignment shrinkToFit="1"/>
    </xf>
    <xf numFmtId="0" fontId="0" fillId="0" borderId="14" xfId="0" applyFont="1" applyBorder="1" applyAlignment="1">
      <alignment horizontal="center" shrinkToFit="1"/>
    </xf>
    <xf numFmtId="0" fontId="2" fillId="2" borderId="4" xfId="2" applyBorder="1" applyAlignment="1">
      <alignment horizontal="center"/>
    </xf>
    <xf numFmtId="0" fontId="2" fillId="2" borderId="5" xfId="2" applyBorder="1" applyAlignment="1">
      <alignment horizontal="center"/>
    </xf>
    <xf numFmtId="0" fontId="0" fillId="4" borderId="22" xfId="5" applyFont="1" applyBorder="1" applyAlignment="1">
      <alignment horizontal="center" vertical="center"/>
    </xf>
    <xf numFmtId="0" fontId="0" fillId="4" borderId="6" xfId="5" applyFont="1" applyBorder="1" applyAlignment="1">
      <alignment horizontal="center" vertical="center"/>
    </xf>
    <xf numFmtId="0" fontId="0" fillId="4" borderId="23" xfId="5" applyFont="1" applyBorder="1" applyAlignment="1">
      <alignment horizontal="center" vertical="center"/>
    </xf>
    <xf numFmtId="0" fontId="0" fillId="4" borderId="24" xfId="5" applyFont="1" applyBorder="1" applyAlignment="1">
      <alignment horizontal="center" vertical="center"/>
    </xf>
    <xf numFmtId="0" fontId="0" fillId="4" borderId="25" xfId="5" applyFont="1" applyBorder="1" applyAlignment="1">
      <alignment horizontal="center" vertical="center"/>
    </xf>
    <xf numFmtId="0" fontId="0" fillId="4" borderId="26" xfId="5" applyFont="1" applyBorder="1" applyAlignment="1">
      <alignment horizontal="center" vertical="center"/>
    </xf>
    <xf numFmtId="0" fontId="1" fillId="0" borderId="7" xfId="1" applyBorder="1" applyAlignment="1">
      <alignment horizontal="center"/>
    </xf>
    <xf numFmtId="0" fontId="1" fillId="0" borderId="8" xfId="1" applyBorder="1" applyAlignment="1">
      <alignment horizontal="center"/>
    </xf>
    <xf numFmtId="0" fontId="1" fillId="0" borderId="9" xfId="1" applyBorder="1" applyAlignment="1">
      <alignment horizontal="center"/>
    </xf>
    <xf numFmtId="0" fontId="2" fillId="2" borderId="2" xfId="2" applyAlignment="1">
      <alignment horizontal="center"/>
    </xf>
    <xf numFmtId="0" fontId="5" fillId="0" borderId="3" xfId="0" applyFont="1" applyBorder="1" applyAlignment="1">
      <alignment horizontal="center"/>
    </xf>
    <xf numFmtId="0" fontId="0" fillId="0" borderId="0" xfId="0" applyBorder="1" applyAlignment="1">
      <alignment horizontal="center"/>
    </xf>
    <xf numFmtId="0" fontId="3" fillId="3" borderId="0" xfId="3" applyBorder="1" applyAlignment="1">
      <alignment horizontal="center" vertical="top" wrapText="1"/>
    </xf>
    <xf numFmtId="0" fontId="0" fillId="0" borderId="14" xfId="0" applyBorder="1" applyAlignment="1">
      <alignment horizontal="center"/>
    </xf>
    <xf numFmtId="0" fontId="0" fillId="0" borderId="0" xfId="0" applyAlignment="1">
      <alignment horizontal="center"/>
    </xf>
    <xf numFmtId="0" fontId="2" fillId="2" borderId="20" xfId="2" applyBorder="1" applyAlignment="1">
      <alignment horizontal="center"/>
    </xf>
    <xf numFmtId="0" fontId="0" fillId="0" borderId="15" xfId="0" applyFont="1" applyBorder="1" applyAlignment="1">
      <alignment horizontal="center" shrinkToFit="1"/>
    </xf>
    <xf numFmtId="0" fontId="2" fillId="2" borderId="12" xfId="2" applyBorder="1" applyAlignment="1">
      <alignment horizontal="center" shrinkToFit="1"/>
    </xf>
    <xf numFmtId="0" fontId="2" fillId="2" borderId="13" xfId="2" applyBorder="1" applyAlignment="1">
      <alignment shrinkToFit="1"/>
    </xf>
  </cellXfs>
  <cellStyles count="6">
    <cellStyle name="Calculation" xfId="3" builtinId="22"/>
    <cellStyle name="Heading 2" xfId="1" builtinId="17"/>
    <cellStyle name="Input" xfId="2" builtinId="20"/>
    <cellStyle name="Normal" xfId="0" builtinId="0"/>
    <cellStyle name="Note" xfId="5" builtinId="10"/>
    <cellStyle name="Warning Text" xfId="4" builtin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466725</xdr:colOff>
      <xdr:row>0</xdr:row>
      <xdr:rowOff>133349</xdr:rowOff>
    </xdr:from>
    <xdr:to>
      <xdr:col>21</xdr:col>
      <xdr:colOff>590550</xdr:colOff>
      <xdr:row>13</xdr:row>
      <xdr:rowOff>180725</xdr:rowOff>
    </xdr:to>
    <xdr:pic>
      <xdr:nvPicPr>
        <xdr:cNvPr id="2" name="Picture 1">
          <a:extLst>
            <a:ext uri="{FF2B5EF4-FFF2-40B4-BE49-F238E27FC236}">
              <a16:creationId xmlns:a16="http://schemas.microsoft.com/office/drawing/2014/main" id="{94DE7A71-F89D-461F-8EEF-75B660EC860F}"/>
            </a:ext>
          </a:extLst>
        </xdr:cNvPr>
        <xdr:cNvPicPr>
          <a:picLocks noChangeAspect="1"/>
        </xdr:cNvPicPr>
      </xdr:nvPicPr>
      <xdr:blipFill>
        <a:blip xmlns:r="http://schemas.openxmlformats.org/officeDocument/2006/relationships" r:embed="rId1"/>
        <a:stretch>
          <a:fillRect/>
        </a:stretch>
      </xdr:blipFill>
      <xdr:spPr>
        <a:xfrm>
          <a:off x="7172325" y="133349"/>
          <a:ext cx="6219825" cy="2590551"/>
        </a:xfrm>
        <a:prstGeom prst="rect">
          <a:avLst/>
        </a:prstGeom>
      </xdr:spPr>
    </xdr:pic>
    <xdr:clientData/>
  </xdr:twoCellAnchor>
  <xdr:twoCellAnchor editAs="oneCell">
    <xdr:from>
      <xdr:col>0</xdr:col>
      <xdr:colOff>0</xdr:colOff>
      <xdr:row>8</xdr:row>
      <xdr:rowOff>57150</xdr:rowOff>
    </xdr:from>
    <xdr:to>
      <xdr:col>10</xdr:col>
      <xdr:colOff>586618</xdr:colOff>
      <xdr:row>18</xdr:row>
      <xdr:rowOff>133350</xdr:rowOff>
    </xdr:to>
    <xdr:pic>
      <xdr:nvPicPr>
        <xdr:cNvPr id="3" name="Picture 2">
          <a:extLst>
            <a:ext uri="{FF2B5EF4-FFF2-40B4-BE49-F238E27FC236}">
              <a16:creationId xmlns:a16="http://schemas.microsoft.com/office/drawing/2014/main" id="{BB4CDE93-E00F-460C-9BA5-7664CD1F9693}"/>
            </a:ext>
          </a:extLst>
        </xdr:cNvPr>
        <xdr:cNvPicPr>
          <a:picLocks noChangeAspect="1"/>
        </xdr:cNvPicPr>
      </xdr:nvPicPr>
      <xdr:blipFill>
        <a:blip xmlns:r="http://schemas.openxmlformats.org/officeDocument/2006/relationships" r:embed="rId2"/>
        <a:stretch>
          <a:fillRect/>
        </a:stretch>
      </xdr:blipFill>
      <xdr:spPr>
        <a:xfrm>
          <a:off x="0" y="1647825"/>
          <a:ext cx="6682618" cy="1981200"/>
        </a:xfrm>
        <a:prstGeom prst="rect">
          <a:avLst/>
        </a:prstGeom>
      </xdr:spPr>
    </xdr:pic>
    <xdr:clientData/>
  </xdr:twoCellAnchor>
  <xdr:twoCellAnchor editAs="oneCell">
    <xdr:from>
      <xdr:col>0</xdr:col>
      <xdr:colOff>95250</xdr:colOff>
      <xdr:row>20</xdr:row>
      <xdr:rowOff>180975</xdr:rowOff>
    </xdr:from>
    <xdr:to>
      <xdr:col>5</xdr:col>
      <xdr:colOff>256774</xdr:colOff>
      <xdr:row>35</xdr:row>
      <xdr:rowOff>132999</xdr:rowOff>
    </xdr:to>
    <xdr:pic>
      <xdr:nvPicPr>
        <xdr:cNvPr id="4" name="Picture 3">
          <a:extLst>
            <a:ext uri="{FF2B5EF4-FFF2-40B4-BE49-F238E27FC236}">
              <a16:creationId xmlns:a16="http://schemas.microsoft.com/office/drawing/2014/main" id="{D20CF400-2299-4DAB-A591-163429CB54E7}"/>
            </a:ext>
          </a:extLst>
        </xdr:cNvPr>
        <xdr:cNvPicPr>
          <a:picLocks noChangeAspect="1"/>
        </xdr:cNvPicPr>
      </xdr:nvPicPr>
      <xdr:blipFill>
        <a:blip xmlns:r="http://schemas.openxmlformats.org/officeDocument/2006/relationships" r:embed="rId3"/>
        <a:stretch>
          <a:fillRect/>
        </a:stretch>
      </xdr:blipFill>
      <xdr:spPr>
        <a:xfrm>
          <a:off x="95250" y="4057650"/>
          <a:ext cx="3209524" cy="2809524"/>
        </a:xfrm>
        <a:prstGeom prst="rect">
          <a:avLst/>
        </a:prstGeom>
      </xdr:spPr>
    </xdr:pic>
    <xdr:clientData/>
  </xdr:twoCellAnchor>
  <xdr:twoCellAnchor editAs="oneCell">
    <xdr:from>
      <xdr:col>6</xdr:col>
      <xdr:colOff>76200</xdr:colOff>
      <xdr:row>19</xdr:row>
      <xdr:rowOff>104775</xdr:rowOff>
    </xdr:from>
    <xdr:to>
      <xdr:col>19</xdr:col>
      <xdr:colOff>313305</xdr:colOff>
      <xdr:row>36</xdr:row>
      <xdr:rowOff>9132</xdr:rowOff>
    </xdr:to>
    <xdr:pic>
      <xdr:nvPicPr>
        <xdr:cNvPr id="5" name="Picture 4">
          <a:extLst>
            <a:ext uri="{FF2B5EF4-FFF2-40B4-BE49-F238E27FC236}">
              <a16:creationId xmlns:a16="http://schemas.microsoft.com/office/drawing/2014/main" id="{AFDC4372-2DAE-49AC-A6CD-66F94B739207}"/>
            </a:ext>
          </a:extLst>
        </xdr:cNvPr>
        <xdr:cNvPicPr>
          <a:picLocks noChangeAspect="1"/>
        </xdr:cNvPicPr>
      </xdr:nvPicPr>
      <xdr:blipFill>
        <a:blip xmlns:r="http://schemas.openxmlformats.org/officeDocument/2006/relationships" r:embed="rId4"/>
        <a:stretch>
          <a:fillRect/>
        </a:stretch>
      </xdr:blipFill>
      <xdr:spPr>
        <a:xfrm>
          <a:off x="3733800" y="3790950"/>
          <a:ext cx="8161905" cy="3142857"/>
        </a:xfrm>
        <a:prstGeom prst="rect">
          <a:avLst/>
        </a:prstGeom>
      </xdr:spPr>
    </xdr:pic>
    <xdr:clientData/>
  </xdr:twoCellAnchor>
  <xdr:twoCellAnchor editAs="oneCell">
    <xdr:from>
      <xdr:col>19</xdr:col>
      <xdr:colOff>495300</xdr:colOff>
      <xdr:row>14</xdr:row>
      <xdr:rowOff>123825</xdr:rowOff>
    </xdr:from>
    <xdr:to>
      <xdr:col>23</xdr:col>
      <xdr:colOff>371186</xdr:colOff>
      <xdr:row>31</xdr:row>
      <xdr:rowOff>171039</xdr:rowOff>
    </xdr:to>
    <xdr:pic>
      <xdr:nvPicPr>
        <xdr:cNvPr id="6" name="Picture 5">
          <a:extLst>
            <a:ext uri="{FF2B5EF4-FFF2-40B4-BE49-F238E27FC236}">
              <a16:creationId xmlns:a16="http://schemas.microsoft.com/office/drawing/2014/main" id="{26A95456-F6DE-4D42-AFD6-8807C8D9B883}"/>
            </a:ext>
          </a:extLst>
        </xdr:cNvPr>
        <xdr:cNvPicPr>
          <a:picLocks noChangeAspect="1"/>
        </xdr:cNvPicPr>
      </xdr:nvPicPr>
      <xdr:blipFill>
        <a:blip xmlns:r="http://schemas.openxmlformats.org/officeDocument/2006/relationships" r:embed="rId5"/>
        <a:stretch>
          <a:fillRect/>
        </a:stretch>
      </xdr:blipFill>
      <xdr:spPr>
        <a:xfrm>
          <a:off x="12077700" y="2847975"/>
          <a:ext cx="2314286" cy="32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0E5F-73E9-4EE4-9610-E7A21572D187}">
  <dimension ref="A1:G8"/>
  <sheetViews>
    <sheetView workbookViewId="0">
      <selection activeCell="A9" sqref="A9"/>
    </sheetView>
  </sheetViews>
  <sheetFormatPr defaultRowHeight="15" x14ac:dyDescent="0.25"/>
  <sheetData>
    <row r="1" spans="1:7" x14ac:dyDescent="0.25">
      <c r="A1" s="23"/>
      <c r="B1" s="24"/>
      <c r="C1" s="24"/>
      <c r="D1" s="24"/>
      <c r="E1" s="24"/>
      <c r="F1" s="24"/>
      <c r="G1" s="24"/>
    </row>
    <row r="2" spans="1:7" ht="15.75" x14ac:dyDescent="0.25">
      <c r="A2" s="28" t="s">
        <v>226</v>
      </c>
      <c r="B2" s="29"/>
      <c r="C2" s="24"/>
      <c r="D2" s="24"/>
      <c r="E2" s="24"/>
      <c r="F2" s="24"/>
      <c r="G2" s="24"/>
    </row>
    <row r="3" spans="1:7" ht="15.75" x14ac:dyDescent="0.25">
      <c r="A3" s="29"/>
      <c r="B3" s="29" t="s">
        <v>224</v>
      </c>
      <c r="C3" s="24"/>
      <c r="D3" s="24"/>
      <c r="E3" s="24"/>
      <c r="F3" s="24"/>
      <c r="G3" s="24"/>
    </row>
    <row r="4" spans="1:7" ht="15.75" x14ac:dyDescent="0.25">
      <c r="A4" s="29" t="s">
        <v>225</v>
      </c>
      <c r="B4" s="29"/>
      <c r="C4" s="24"/>
      <c r="D4" s="24"/>
      <c r="E4" s="24"/>
      <c r="F4" s="24"/>
      <c r="G4" s="24"/>
    </row>
    <row r="5" spans="1:7" ht="15.75" x14ac:dyDescent="0.25">
      <c r="A5" s="29" t="s">
        <v>253</v>
      </c>
      <c r="B5" s="29"/>
      <c r="C5" s="24"/>
      <c r="D5" s="24"/>
      <c r="E5" s="24"/>
      <c r="F5" s="24"/>
      <c r="G5" s="24"/>
    </row>
    <row r="6" spans="1:7" ht="15.75" x14ac:dyDescent="0.25">
      <c r="A6" s="29" t="s">
        <v>227</v>
      </c>
      <c r="B6" s="29"/>
      <c r="C6" s="24"/>
      <c r="D6" s="24"/>
      <c r="E6" s="24"/>
      <c r="F6" s="24"/>
      <c r="G6" s="24"/>
    </row>
    <row r="7" spans="1:7" ht="15.75" x14ac:dyDescent="0.25">
      <c r="A7" s="29" t="s">
        <v>255</v>
      </c>
    </row>
    <row r="8" spans="1:7" ht="15.75" x14ac:dyDescent="0.25">
      <c r="A8" s="29" t="s">
        <v>257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D37F-0B57-4ABD-84F2-8DED1398FB26}">
  <dimension ref="A1:Z37"/>
  <sheetViews>
    <sheetView tabSelected="1" topLeftCell="A2" zoomScaleNormal="100" workbookViewId="0">
      <selection activeCell="B25" sqref="B25:C25"/>
    </sheetView>
  </sheetViews>
  <sheetFormatPr defaultRowHeight="15" x14ac:dyDescent="0.25"/>
  <cols>
    <col min="1" max="1" width="11.85546875" bestFit="1" customWidth="1"/>
    <col min="2" max="2" width="6.5703125" bestFit="1" customWidth="1"/>
    <col min="3" max="3" width="11.5703125" bestFit="1" customWidth="1"/>
    <col min="5" max="5" width="5" customWidth="1"/>
    <col min="6" max="6" width="21.85546875" customWidth="1"/>
    <col min="8" max="8" width="15.5703125" bestFit="1" customWidth="1"/>
    <col min="9" max="9" width="13.28515625" customWidth="1"/>
    <col min="11" max="11" width="20.28515625" customWidth="1"/>
    <col min="12" max="12" width="13.42578125" customWidth="1"/>
    <col min="13" max="13" width="10" bestFit="1" customWidth="1"/>
    <col min="14" max="14" width="9.5703125" customWidth="1"/>
    <col min="15" max="15" width="10.28515625" customWidth="1"/>
    <col min="16" max="16" width="12.140625" bestFit="1" customWidth="1"/>
  </cols>
  <sheetData>
    <row r="1" spans="1:26" ht="18" thickBot="1" x14ac:dyDescent="0.35">
      <c r="A1" s="3" t="s">
        <v>0</v>
      </c>
      <c r="B1" s="67"/>
      <c r="C1" s="67"/>
      <c r="D1" s="67"/>
      <c r="F1" t="s">
        <v>41</v>
      </c>
      <c r="G1" s="56"/>
      <c r="H1" s="57"/>
      <c r="J1" s="64" t="s">
        <v>79</v>
      </c>
      <c r="K1" s="65"/>
      <c r="L1" s="65"/>
      <c r="M1" s="65"/>
      <c r="N1" s="65"/>
      <c r="O1" s="65"/>
      <c r="P1" s="65"/>
      <c r="Q1" s="66"/>
    </row>
    <row r="2" spans="1:26" ht="15.75" thickTop="1" x14ac:dyDescent="0.25">
      <c r="A2" s="3" t="s">
        <v>1</v>
      </c>
      <c r="B2" s="5">
        <v>2</v>
      </c>
      <c r="C2" s="3" t="s">
        <v>14</v>
      </c>
      <c r="D2" s="5">
        <f>Database!B17</f>
        <v>90</v>
      </c>
      <c r="F2" t="s">
        <v>42</v>
      </c>
      <c r="G2" s="56" t="s">
        <v>19</v>
      </c>
      <c r="H2" s="57"/>
      <c r="J2" s="58" t="str">
        <f>IFERROR(VLOOKUP(Archetype, Table_Archetype, 3, 0), "None")</f>
        <v>Imperium, Adeptus Ministorum, Adepta Sororitas, &lt;ORDER&gt;</v>
      </c>
      <c r="K2" s="59"/>
      <c r="L2" s="59"/>
      <c r="M2" s="59"/>
      <c r="N2" s="59"/>
      <c r="O2" s="59"/>
      <c r="P2" s="59"/>
      <c r="Q2" s="60"/>
    </row>
    <row r="3" spans="1:26" x14ac:dyDescent="0.25">
      <c r="A3" s="3" t="s">
        <v>2</v>
      </c>
      <c r="B3" s="5">
        <v>1</v>
      </c>
      <c r="C3" s="3" t="s">
        <v>3</v>
      </c>
      <c r="D3" s="5">
        <f>B3</f>
        <v>1</v>
      </c>
      <c r="F3" t="s">
        <v>43</v>
      </c>
      <c r="G3" s="56" t="s">
        <v>174</v>
      </c>
      <c r="H3" s="57"/>
      <c r="J3" s="61"/>
      <c r="K3" s="62"/>
      <c r="L3" s="62"/>
      <c r="M3" s="62"/>
      <c r="N3" s="62"/>
      <c r="O3" s="62"/>
      <c r="P3" s="62"/>
      <c r="Q3" s="63"/>
    </row>
    <row r="4" spans="1:26" x14ac:dyDescent="0.25">
      <c r="A4" s="3" t="s">
        <v>256</v>
      </c>
      <c r="B4" s="73" t="s">
        <v>367</v>
      </c>
      <c r="C4" s="73"/>
      <c r="D4" s="73"/>
      <c r="E4" s="4"/>
      <c r="F4" t="s">
        <v>67</v>
      </c>
      <c r="G4" s="25" t="str">
        <f>VLOOKUP(G2, Table_Species, 4, 0)</f>
        <v>None</v>
      </c>
      <c r="H4" s="15"/>
    </row>
    <row r="5" spans="1:26" ht="18" customHeight="1" thickBot="1" x14ac:dyDescent="0.35">
      <c r="A5" s="64" t="s">
        <v>4</v>
      </c>
      <c r="B5" s="65"/>
      <c r="C5" s="65"/>
      <c r="D5" s="66"/>
      <c r="F5" t="s">
        <v>44</v>
      </c>
      <c r="G5" s="70" t="str">
        <f>IFERROR(VLOOKUP(Archetype, Table_Archetype, 5, 0), "None")</f>
        <v>Purity of Faith: Sisters of Battle and any allies within 15 metres and line of sight add +Rank to Corruption tests. Sisters of Battle gain +Rank to any dice pool to resist psychic powers and effects.</v>
      </c>
      <c r="H5" s="70"/>
      <c r="I5" s="70"/>
      <c r="J5" s="70"/>
      <c r="K5" s="70"/>
      <c r="L5" s="70"/>
      <c r="M5" s="70"/>
      <c r="N5" s="70"/>
      <c r="O5" s="70"/>
      <c r="P5" s="70"/>
      <c r="Q5" s="70"/>
      <c r="R5" s="70"/>
      <c r="S5" s="70"/>
    </row>
    <row r="6" spans="1:26" ht="15.75" thickTop="1" x14ac:dyDescent="0.25">
      <c r="A6" s="42" t="s">
        <v>144</v>
      </c>
      <c r="B6" s="30" t="s">
        <v>12</v>
      </c>
      <c r="C6" s="19" t="s">
        <v>13</v>
      </c>
      <c r="D6" s="45" t="s">
        <v>145</v>
      </c>
      <c r="G6" s="70"/>
      <c r="H6" s="70"/>
      <c r="I6" s="70"/>
      <c r="J6" s="70"/>
      <c r="K6" s="70"/>
      <c r="L6" s="70"/>
      <c r="M6" s="70"/>
      <c r="N6" s="70"/>
      <c r="O6" s="70"/>
      <c r="P6" s="70"/>
      <c r="Q6" s="70"/>
      <c r="R6" s="70"/>
      <c r="S6" s="70"/>
    </row>
    <row r="7" spans="1:26" ht="18" thickBot="1" x14ac:dyDescent="0.35">
      <c r="A7" s="35" t="s">
        <v>5</v>
      </c>
      <c r="B7" s="36">
        <v>3</v>
      </c>
      <c r="C7" s="46">
        <f>B7 + INDEX(Table_Species,MATCH(Species,Names_Species,0),MATCH(Character!A7,Table_Species_X,0))</f>
        <v>3</v>
      </c>
      <c r="D7" s="34"/>
      <c r="F7" s="64" t="s">
        <v>45</v>
      </c>
      <c r="G7" s="65"/>
      <c r="H7" s="65"/>
      <c r="I7" s="66"/>
      <c r="K7" s="64" t="s">
        <v>307</v>
      </c>
      <c r="L7" s="65"/>
      <c r="M7" s="65"/>
      <c r="N7" s="65"/>
      <c r="O7" s="65"/>
      <c r="P7" s="65"/>
      <c r="Q7" s="66"/>
      <c r="R7" s="24"/>
    </row>
    <row r="8" spans="1:26" ht="15.75" thickTop="1" x14ac:dyDescent="0.25">
      <c r="A8" s="35" t="s">
        <v>6</v>
      </c>
      <c r="B8" s="36">
        <v>3</v>
      </c>
      <c r="C8" s="46">
        <f>B8 + INDEX(Table_Species,MATCH(Species,Names_Species,0),MATCH(Character!A8,Table_Species_X,0))</f>
        <v>3</v>
      </c>
      <c r="D8" s="34"/>
      <c r="F8" s="32" t="s">
        <v>46</v>
      </c>
      <c r="G8" s="33" t="s">
        <v>12</v>
      </c>
      <c r="H8" s="33" t="s">
        <v>47</v>
      </c>
      <c r="I8" s="34" t="s">
        <v>48</v>
      </c>
      <c r="J8" s="13"/>
      <c r="K8" s="42" t="s">
        <v>308</v>
      </c>
      <c r="L8" s="30" t="s">
        <v>260</v>
      </c>
      <c r="M8" s="30" t="s">
        <v>264</v>
      </c>
      <c r="N8" s="30" t="s">
        <v>263</v>
      </c>
      <c r="O8" s="30" t="s">
        <v>83</v>
      </c>
      <c r="P8" s="30" t="s">
        <v>265</v>
      </c>
      <c r="Q8" s="31" t="s">
        <v>16</v>
      </c>
      <c r="R8" s="2"/>
      <c r="S8" s="2"/>
      <c r="T8" s="2"/>
      <c r="U8" s="2"/>
      <c r="V8" s="2"/>
      <c r="W8" s="2"/>
      <c r="X8" s="2"/>
      <c r="Y8" s="2"/>
      <c r="Z8" s="2"/>
    </row>
    <row r="9" spans="1:26" x14ac:dyDescent="0.25">
      <c r="A9" s="35" t="s">
        <v>7</v>
      </c>
      <c r="B9" s="36">
        <v>3</v>
      </c>
      <c r="C9" s="46">
        <f>B9 + INDEX(Table_Species,MATCH(Species,Names_Species,0),MATCH(Character!A9,Table_Species_X,0))</f>
        <v>3</v>
      </c>
      <c r="D9" s="34"/>
      <c r="F9" s="35" t="s">
        <v>49</v>
      </c>
      <c r="G9" s="36"/>
      <c r="H9" s="33" t="s">
        <v>5</v>
      </c>
      <c r="I9" s="37">
        <f t="shared" ref="I9:I26" si="0">G9+VLOOKUP(H9, Table_Attributes, 3, 0)</f>
        <v>3</v>
      </c>
      <c r="J9" s="13"/>
      <c r="K9" s="75"/>
      <c r="L9" s="52" t="str">
        <f t="shared" ref="L9:L23" si="1">IFERROR(VLOOKUP($K9, Table_Powers, 2, 0), "")</f>
        <v/>
      </c>
      <c r="M9" s="52" t="str">
        <f t="shared" ref="M9:M23" si="2">IFERROR(VLOOKUP($K9, Table_Powers, 3, 0), "")</f>
        <v/>
      </c>
      <c r="N9" s="52" t="str">
        <f t="shared" ref="N9:N23" si="3">IFERROR(VLOOKUP($K9, Table_Powers, 4, 0), "")</f>
        <v/>
      </c>
      <c r="O9" s="52" t="str">
        <f t="shared" ref="O9:O23" si="4">IFERROR(VLOOKUP($K9, Table_Powers, 5, 0), "")</f>
        <v/>
      </c>
      <c r="P9" s="52" t="str">
        <f t="shared" ref="P9:P23" si="5">IFERROR(VLOOKUP($K9, Table_Powers, 6, 0), "")</f>
        <v/>
      </c>
      <c r="Q9" s="53" t="str">
        <f>IFERROR(VLOOKUP($K9, Table_Powers, 9, 0), "")</f>
        <v/>
      </c>
      <c r="R9" s="13"/>
      <c r="S9" s="13"/>
      <c r="T9" s="13"/>
    </row>
    <row r="10" spans="1:26" x14ac:dyDescent="0.25">
      <c r="A10" s="35" t="s">
        <v>8</v>
      </c>
      <c r="B10" s="36">
        <v>3</v>
      </c>
      <c r="C10" s="46">
        <f>B10 + INDEX(Table_Species,MATCH(Species,Names_Species,0),MATCH(Character!A10,Table_Species_X,0))</f>
        <v>3</v>
      </c>
      <c r="D10" s="34"/>
      <c r="F10" s="35" t="s">
        <v>50</v>
      </c>
      <c r="G10" s="36"/>
      <c r="H10" s="33" t="s">
        <v>8</v>
      </c>
      <c r="I10" s="37">
        <f t="shared" si="0"/>
        <v>3</v>
      </c>
      <c r="J10" s="13"/>
      <c r="K10" s="75"/>
      <c r="L10" s="52" t="str">
        <f t="shared" si="1"/>
        <v/>
      </c>
      <c r="M10" s="52" t="str">
        <f t="shared" si="2"/>
        <v/>
      </c>
      <c r="N10" s="52" t="str">
        <f t="shared" si="3"/>
        <v/>
      </c>
      <c r="O10" s="52" t="str">
        <f t="shared" si="4"/>
        <v/>
      </c>
      <c r="P10" s="52" t="str">
        <f t="shared" si="5"/>
        <v/>
      </c>
      <c r="Q10" s="53" t="str">
        <f>IFERROR(VLOOKUP($K10, Table_Powers, 9, 0), "")</f>
        <v/>
      </c>
      <c r="R10" s="13"/>
      <c r="S10" s="13"/>
      <c r="T10" s="13"/>
    </row>
    <row r="11" spans="1:26" x14ac:dyDescent="0.25">
      <c r="A11" s="35" t="s">
        <v>9</v>
      </c>
      <c r="B11" s="36">
        <v>3</v>
      </c>
      <c r="C11" s="46">
        <f>B11 + INDEX(Table_Species,MATCH(Species,Names_Species,0),MATCH(Character!A11,Table_Species_X,0))</f>
        <v>3</v>
      </c>
      <c r="D11" s="34"/>
      <c r="F11" s="35" t="s">
        <v>51</v>
      </c>
      <c r="G11" s="36"/>
      <c r="H11" s="33" t="s">
        <v>6</v>
      </c>
      <c r="I11" s="37">
        <f t="shared" si="0"/>
        <v>3</v>
      </c>
      <c r="J11" s="13"/>
      <c r="K11" s="75"/>
      <c r="L11" s="52" t="str">
        <f t="shared" si="1"/>
        <v/>
      </c>
      <c r="M11" s="52" t="str">
        <f t="shared" si="2"/>
        <v/>
      </c>
      <c r="N11" s="52" t="str">
        <f t="shared" si="3"/>
        <v/>
      </c>
      <c r="O11" s="52" t="str">
        <f t="shared" si="4"/>
        <v/>
      </c>
      <c r="P11" s="52" t="str">
        <f t="shared" si="5"/>
        <v/>
      </c>
      <c r="Q11" s="53" t="str">
        <f>IFERROR(VLOOKUP($K11, Table_Powers, 9, 0), "")</f>
        <v/>
      </c>
      <c r="R11" s="13"/>
      <c r="S11" s="13"/>
      <c r="T11" s="13"/>
    </row>
    <row r="12" spans="1:26" x14ac:dyDescent="0.25">
      <c r="A12" s="35" t="s">
        <v>10</v>
      </c>
      <c r="B12" s="36">
        <v>3</v>
      </c>
      <c r="C12" s="46">
        <f>B12 + INDEX(Table_Species,MATCH(Species,Names_Species,0),MATCH(Character!A12,Table_Species_X,0))</f>
        <v>3</v>
      </c>
      <c r="D12" s="34"/>
      <c r="F12" s="35" t="s">
        <v>52</v>
      </c>
      <c r="G12" s="36"/>
      <c r="H12" s="33" t="s">
        <v>10</v>
      </c>
      <c r="I12" s="37">
        <f t="shared" si="0"/>
        <v>3</v>
      </c>
      <c r="J12" s="13"/>
      <c r="K12" s="75"/>
      <c r="L12" s="52" t="str">
        <f t="shared" si="1"/>
        <v/>
      </c>
      <c r="M12" s="52" t="str">
        <f t="shared" si="2"/>
        <v/>
      </c>
      <c r="N12" s="52" t="str">
        <f t="shared" si="3"/>
        <v/>
      </c>
      <c r="O12" s="52" t="str">
        <f t="shared" si="4"/>
        <v/>
      </c>
      <c r="P12" s="52" t="str">
        <f t="shared" si="5"/>
        <v/>
      </c>
      <c r="Q12" s="53" t="str">
        <f>IFERROR(VLOOKUP($K12, Table_Powers, 9, 0), "")</f>
        <v/>
      </c>
      <c r="R12" s="13"/>
      <c r="S12" s="13"/>
      <c r="T12" s="13"/>
    </row>
    <row r="13" spans="1:26" x14ac:dyDescent="0.25">
      <c r="A13" s="38" t="s">
        <v>11</v>
      </c>
      <c r="B13" s="39">
        <v>3</v>
      </c>
      <c r="C13" s="47">
        <f>B13 + INDEX(Table_Species,MATCH(Species,Names_Species,0),MATCH(Character!A13,Table_Species_X,0))</f>
        <v>3</v>
      </c>
      <c r="D13" s="44"/>
      <c r="F13" s="35" t="s">
        <v>53</v>
      </c>
      <c r="G13" s="36"/>
      <c r="H13" s="33" t="s">
        <v>10</v>
      </c>
      <c r="I13" s="37">
        <f t="shared" si="0"/>
        <v>3</v>
      </c>
      <c r="J13" s="13"/>
      <c r="K13" s="75"/>
      <c r="L13" s="52" t="str">
        <f t="shared" si="1"/>
        <v/>
      </c>
      <c r="M13" s="52" t="str">
        <f t="shared" si="2"/>
        <v/>
      </c>
      <c r="N13" s="52" t="str">
        <f t="shared" si="3"/>
        <v/>
      </c>
      <c r="O13" s="52" t="str">
        <f t="shared" si="4"/>
        <v/>
      </c>
      <c r="P13" s="52" t="str">
        <f t="shared" si="5"/>
        <v/>
      </c>
      <c r="Q13" s="53" t="str">
        <f>IFERROR(VLOOKUP($K13, Table_Powers, 9, 0), "")</f>
        <v/>
      </c>
      <c r="R13" s="13"/>
      <c r="S13" s="13"/>
      <c r="T13" s="13"/>
    </row>
    <row r="14" spans="1:26" x14ac:dyDescent="0.25">
      <c r="D14" s="1"/>
      <c r="F14" s="35" t="s">
        <v>54</v>
      </c>
      <c r="G14" s="36"/>
      <c r="H14" s="33" t="s">
        <v>10</v>
      </c>
      <c r="I14" s="37">
        <f t="shared" si="0"/>
        <v>3</v>
      </c>
      <c r="J14" s="13"/>
      <c r="K14" s="75"/>
      <c r="L14" s="52" t="str">
        <f t="shared" si="1"/>
        <v/>
      </c>
      <c r="M14" s="52" t="str">
        <f t="shared" si="2"/>
        <v/>
      </c>
      <c r="N14" s="52" t="str">
        <f t="shared" si="3"/>
        <v/>
      </c>
      <c r="O14" s="52" t="str">
        <f t="shared" si="4"/>
        <v/>
      </c>
      <c r="P14" s="52" t="str">
        <f t="shared" si="5"/>
        <v/>
      </c>
      <c r="Q14" s="53" t="str">
        <f>IFERROR(VLOOKUP($K14, Table_Powers, 9, 0), "")</f>
        <v/>
      </c>
      <c r="R14" s="13"/>
      <c r="S14" s="13"/>
      <c r="T14" s="13"/>
    </row>
    <row r="15" spans="1:26" ht="18" thickBot="1" x14ac:dyDescent="0.35">
      <c r="A15" s="64" t="s">
        <v>25</v>
      </c>
      <c r="B15" s="65"/>
      <c r="C15" s="65"/>
      <c r="D15" s="66"/>
      <c r="F15" s="35" t="s">
        <v>55</v>
      </c>
      <c r="G15" s="36"/>
      <c r="H15" s="33" t="s">
        <v>9</v>
      </c>
      <c r="I15" s="37">
        <f t="shared" si="0"/>
        <v>3</v>
      </c>
      <c r="J15" s="13"/>
      <c r="K15" s="75"/>
      <c r="L15" s="52" t="str">
        <f t="shared" si="1"/>
        <v/>
      </c>
      <c r="M15" s="52" t="str">
        <f t="shared" si="2"/>
        <v/>
      </c>
      <c r="N15" s="52" t="str">
        <f t="shared" si="3"/>
        <v/>
      </c>
      <c r="O15" s="52" t="str">
        <f t="shared" si="4"/>
        <v/>
      </c>
      <c r="P15" s="52" t="str">
        <f t="shared" si="5"/>
        <v/>
      </c>
      <c r="Q15" s="53" t="str">
        <f>IFERROR(VLOOKUP($K15, Table_Powers, 9, 0), "")</f>
        <v/>
      </c>
      <c r="R15" s="13"/>
      <c r="S15" s="13"/>
      <c r="T15" s="13"/>
    </row>
    <row r="16" spans="1:26" ht="15.75" thickTop="1" x14ac:dyDescent="0.25">
      <c r="A16" s="42" t="s">
        <v>26</v>
      </c>
      <c r="B16" s="68" t="s">
        <v>12</v>
      </c>
      <c r="C16" s="68"/>
      <c r="D16" s="31" t="s">
        <v>32</v>
      </c>
      <c r="F16" s="35" t="s">
        <v>56</v>
      </c>
      <c r="G16" s="36"/>
      <c r="H16" s="33" t="s">
        <v>8</v>
      </c>
      <c r="I16" s="37">
        <f t="shared" si="0"/>
        <v>3</v>
      </c>
      <c r="J16" s="13"/>
      <c r="K16" s="75"/>
      <c r="L16" s="52" t="str">
        <f t="shared" si="1"/>
        <v/>
      </c>
      <c r="M16" s="52" t="str">
        <f t="shared" si="2"/>
        <v/>
      </c>
      <c r="N16" s="52" t="str">
        <f t="shared" si="3"/>
        <v/>
      </c>
      <c r="O16" s="52" t="str">
        <f t="shared" si="4"/>
        <v/>
      </c>
      <c r="P16" s="52" t="str">
        <f t="shared" si="5"/>
        <v/>
      </c>
      <c r="Q16" s="53" t="str">
        <f>IFERROR(VLOOKUP($K16, Table_Powers, 9, 0), "")</f>
        <v/>
      </c>
      <c r="R16" s="13"/>
      <c r="S16" s="13"/>
      <c r="T16" s="13"/>
    </row>
    <row r="17" spans="1:20" x14ac:dyDescent="0.25">
      <c r="A17" s="35" t="s">
        <v>27</v>
      </c>
      <c r="B17" s="69">
        <f>Adj_Initiative-1</f>
        <v>2</v>
      </c>
      <c r="C17" s="69"/>
      <c r="D17" s="43"/>
      <c r="F17" s="35" t="s">
        <v>57</v>
      </c>
      <c r="G17" s="36"/>
      <c r="H17" s="33" t="s">
        <v>9</v>
      </c>
      <c r="I17" s="37">
        <f t="shared" si="0"/>
        <v>3</v>
      </c>
      <c r="J17" s="13"/>
      <c r="K17" s="75"/>
      <c r="L17" s="52" t="str">
        <f t="shared" si="1"/>
        <v/>
      </c>
      <c r="M17" s="52" t="str">
        <f t="shared" si="2"/>
        <v/>
      </c>
      <c r="N17" s="52" t="str">
        <f t="shared" si="3"/>
        <v/>
      </c>
      <c r="O17" s="52" t="str">
        <f t="shared" si="4"/>
        <v/>
      </c>
      <c r="P17" s="52" t="str">
        <f t="shared" si="5"/>
        <v/>
      </c>
      <c r="Q17" s="53" t="str">
        <f>IFERROR(VLOOKUP($K17, Table_Powers, 9, 0), "")</f>
        <v/>
      </c>
      <c r="R17" s="13"/>
      <c r="S17" s="13"/>
      <c r="T17" s="13"/>
    </row>
    <row r="18" spans="1:20" x14ac:dyDescent="0.25">
      <c r="A18" s="35" t="s">
        <v>28</v>
      </c>
      <c r="B18" s="69" t="str">
        <f>Adj_Toughness+1+Armour_Rating &amp; " (" &amp; Armour_Rating &amp; ")"</f>
        <v>4 (0)</v>
      </c>
      <c r="C18" s="69"/>
      <c r="D18" s="43"/>
      <c r="F18" s="35" t="s">
        <v>58</v>
      </c>
      <c r="G18" s="36"/>
      <c r="H18" s="33" t="s">
        <v>8</v>
      </c>
      <c r="I18" s="37">
        <f t="shared" si="0"/>
        <v>3</v>
      </c>
      <c r="J18" s="13"/>
      <c r="K18" s="75"/>
      <c r="L18" s="52" t="str">
        <f t="shared" si="1"/>
        <v/>
      </c>
      <c r="M18" s="52" t="str">
        <f t="shared" si="2"/>
        <v/>
      </c>
      <c r="N18" s="52" t="str">
        <f t="shared" si="3"/>
        <v/>
      </c>
      <c r="O18" s="52" t="str">
        <f t="shared" si="4"/>
        <v/>
      </c>
      <c r="P18" s="52" t="str">
        <f t="shared" si="5"/>
        <v/>
      </c>
      <c r="Q18" s="53" t="str">
        <f>IFERROR(VLOOKUP($K18, Table_Powers, 9, 0), "")</f>
        <v/>
      </c>
      <c r="R18" s="13"/>
      <c r="S18" s="13"/>
      <c r="T18" s="13"/>
    </row>
    <row r="19" spans="1:20" x14ac:dyDescent="0.25">
      <c r="A19" s="35" t="s">
        <v>29</v>
      </c>
      <c r="B19" s="69">
        <f>Adj_Toughness</f>
        <v>3</v>
      </c>
      <c r="C19" s="69"/>
      <c r="D19" s="43"/>
      <c r="F19" s="35" t="s">
        <v>59</v>
      </c>
      <c r="G19" s="36"/>
      <c r="H19" s="33" t="s">
        <v>10</v>
      </c>
      <c r="I19" s="37">
        <f t="shared" si="0"/>
        <v>3</v>
      </c>
      <c r="J19" s="13"/>
      <c r="K19" s="75"/>
      <c r="L19" s="52" t="str">
        <f t="shared" si="1"/>
        <v/>
      </c>
      <c r="M19" s="52" t="str">
        <f t="shared" si="2"/>
        <v/>
      </c>
      <c r="N19" s="52" t="str">
        <f t="shared" si="3"/>
        <v/>
      </c>
      <c r="O19" s="52" t="str">
        <f t="shared" si="4"/>
        <v/>
      </c>
      <c r="P19" s="52" t="str">
        <f t="shared" si="5"/>
        <v/>
      </c>
      <c r="Q19" s="53" t="str">
        <f>IFERROR(VLOOKUP($K19, Table_Powers, 9, 0), "")</f>
        <v/>
      </c>
      <c r="R19" s="13"/>
      <c r="S19" s="13"/>
      <c r="T19" s="13"/>
    </row>
    <row r="20" spans="1:20" x14ac:dyDescent="0.25">
      <c r="A20" s="35" t="s">
        <v>17</v>
      </c>
      <c r="B20" s="69">
        <f>VLOOKUP(G2, Table_Species, 3, 0)</f>
        <v>6</v>
      </c>
      <c r="C20" s="69"/>
      <c r="D20" s="43"/>
      <c r="F20" s="35" t="s">
        <v>60</v>
      </c>
      <c r="G20" s="36"/>
      <c r="H20" s="33" t="s">
        <v>6</v>
      </c>
      <c r="I20" s="37">
        <f t="shared" si="0"/>
        <v>3</v>
      </c>
      <c r="J20" s="13"/>
      <c r="K20" s="75"/>
      <c r="L20" s="52" t="str">
        <f t="shared" si="1"/>
        <v/>
      </c>
      <c r="M20" s="52" t="str">
        <f t="shared" si="2"/>
        <v/>
      </c>
      <c r="N20" s="52" t="str">
        <f t="shared" si="3"/>
        <v/>
      </c>
      <c r="O20" s="52" t="str">
        <f t="shared" si="4"/>
        <v/>
      </c>
      <c r="P20" s="52" t="str">
        <f t="shared" si="5"/>
        <v/>
      </c>
      <c r="Q20" s="53" t="str">
        <f>IFERROR(VLOOKUP($K20, Table_Powers, 9, 0), "")</f>
        <v/>
      </c>
      <c r="R20" s="13"/>
      <c r="S20" s="13"/>
      <c r="T20" s="13"/>
    </row>
    <row r="21" spans="1:20" x14ac:dyDescent="0.25">
      <c r="A21" s="35" t="s">
        <v>30</v>
      </c>
      <c r="B21" s="69">
        <f>Adj_Willpower+Tier</f>
        <v>5</v>
      </c>
      <c r="C21" s="69"/>
      <c r="D21" s="43"/>
      <c r="F21" s="35" t="s">
        <v>61</v>
      </c>
      <c r="G21" s="36"/>
      <c r="H21" s="33" t="s">
        <v>9</v>
      </c>
      <c r="I21" s="37">
        <f t="shared" si="0"/>
        <v>3</v>
      </c>
      <c r="J21" s="13"/>
      <c r="K21" s="75"/>
      <c r="L21" s="52" t="str">
        <f t="shared" si="1"/>
        <v/>
      </c>
      <c r="M21" s="52" t="str">
        <f t="shared" si="2"/>
        <v/>
      </c>
      <c r="N21" s="52" t="str">
        <f t="shared" si="3"/>
        <v/>
      </c>
      <c r="O21" s="52" t="str">
        <f t="shared" si="4"/>
        <v/>
      </c>
      <c r="P21" s="52" t="str">
        <f t="shared" si="5"/>
        <v/>
      </c>
      <c r="Q21" s="53" t="str">
        <f>IFERROR(VLOOKUP($K21, Table_Powers, 9, 0), "")</f>
        <v/>
      </c>
      <c r="R21" s="13"/>
      <c r="S21" s="13"/>
      <c r="T21" s="13"/>
    </row>
    <row r="22" spans="1:20" x14ac:dyDescent="0.25">
      <c r="A22" s="38" t="s">
        <v>31</v>
      </c>
      <c r="B22" s="71">
        <f>Adj_Toughness+Tier</f>
        <v>5</v>
      </c>
      <c r="C22" s="71"/>
      <c r="D22" s="49"/>
      <c r="F22" s="35" t="s">
        <v>62</v>
      </c>
      <c r="G22" s="36"/>
      <c r="H22" s="33" t="s">
        <v>8</v>
      </c>
      <c r="I22" s="37">
        <f t="shared" si="0"/>
        <v>3</v>
      </c>
      <c r="J22" s="13"/>
      <c r="K22" s="75"/>
      <c r="L22" s="52" t="str">
        <f t="shared" si="1"/>
        <v/>
      </c>
      <c r="M22" s="52" t="str">
        <f t="shared" si="2"/>
        <v/>
      </c>
      <c r="N22" s="52" t="str">
        <f t="shared" si="3"/>
        <v/>
      </c>
      <c r="O22" s="52" t="str">
        <f t="shared" si="4"/>
        <v/>
      </c>
      <c r="P22" s="52" t="str">
        <f t="shared" si="5"/>
        <v/>
      </c>
      <c r="Q22" s="53" t="str">
        <f>IFERROR(VLOOKUP($K22, Table_Powers, 9, 0), "")</f>
        <v/>
      </c>
      <c r="R22" s="13"/>
      <c r="S22" s="13"/>
      <c r="T22" s="13"/>
    </row>
    <row r="23" spans="1:20" x14ac:dyDescent="0.25">
      <c r="A23" s="35"/>
      <c r="B23" s="50"/>
      <c r="C23" s="50"/>
      <c r="D23" s="33"/>
      <c r="F23" s="35" t="s">
        <v>63</v>
      </c>
      <c r="G23" s="36"/>
      <c r="H23" s="33" t="s">
        <v>6</v>
      </c>
      <c r="I23" s="37">
        <f t="shared" si="0"/>
        <v>3</v>
      </c>
      <c r="J23" s="13"/>
      <c r="K23" s="75"/>
      <c r="L23" s="52" t="str">
        <f t="shared" si="1"/>
        <v/>
      </c>
      <c r="M23" s="52" t="str">
        <f t="shared" si="2"/>
        <v/>
      </c>
      <c r="N23" s="52" t="str">
        <f t="shared" si="3"/>
        <v/>
      </c>
      <c r="O23" s="52" t="str">
        <f t="shared" si="4"/>
        <v/>
      </c>
      <c r="P23" s="52" t="str">
        <f t="shared" si="5"/>
        <v/>
      </c>
      <c r="Q23" s="53" t="str">
        <f>IFERROR(VLOOKUP($K23, Table_Powers, 9, 0), "")</f>
        <v/>
      </c>
      <c r="R23" s="13"/>
      <c r="S23" s="13"/>
      <c r="T23" s="13"/>
    </row>
    <row r="24" spans="1:20" ht="18" thickBot="1" x14ac:dyDescent="0.35">
      <c r="A24" s="64" t="s">
        <v>33</v>
      </c>
      <c r="B24" s="65"/>
      <c r="C24" s="65"/>
      <c r="D24" s="66"/>
      <c r="F24" s="35" t="s">
        <v>64</v>
      </c>
      <c r="G24" s="36"/>
      <c r="H24" s="33" t="s">
        <v>9</v>
      </c>
      <c r="I24" s="37">
        <f t="shared" si="0"/>
        <v>3</v>
      </c>
      <c r="J24" s="13"/>
      <c r="K24" s="75"/>
      <c r="L24" s="52"/>
      <c r="M24" s="52"/>
      <c r="N24" s="52"/>
      <c r="O24" s="52"/>
      <c r="P24" s="52"/>
      <c r="Q24" s="53" t="str">
        <f>IFERROR(VLOOKUP($K24, Table_Powers, 9, 0), "")</f>
        <v/>
      </c>
      <c r="R24" s="13"/>
      <c r="S24" s="13"/>
      <c r="T24" s="13"/>
    </row>
    <row r="25" spans="1:20" ht="15.75" thickTop="1" x14ac:dyDescent="0.25">
      <c r="A25" s="48" t="s">
        <v>26</v>
      </c>
      <c r="B25" s="68" t="s">
        <v>12</v>
      </c>
      <c r="C25" s="68"/>
      <c r="D25" s="31" t="s">
        <v>32</v>
      </c>
      <c r="F25" s="35" t="s">
        <v>65</v>
      </c>
      <c r="G25" s="36"/>
      <c r="H25" s="33" t="s">
        <v>8</v>
      </c>
      <c r="I25" s="37">
        <f t="shared" si="0"/>
        <v>3</v>
      </c>
      <c r="J25" s="13"/>
      <c r="K25" s="75"/>
      <c r="L25" s="52" t="str">
        <f>IFERROR(VLOOKUP($K25, Table_Powers, 2, 0), "")</f>
        <v/>
      </c>
      <c r="M25" s="52" t="str">
        <f>IFERROR(VLOOKUP($K25, Table_Powers, 3, 0), "")</f>
        <v/>
      </c>
      <c r="N25" s="52" t="str">
        <f>IFERROR(VLOOKUP($K25, Table_Powers, 4, 0), "")</f>
        <v/>
      </c>
      <c r="O25" s="52" t="str">
        <f>IFERROR(VLOOKUP($K25, Table_Powers, 5, 0), "")</f>
        <v/>
      </c>
      <c r="P25" s="52" t="str">
        <f>IFERROR(VLOOKUP($K25, Table_Powers, 6, 0), "")</f>
        <v/>
      </c>
      <c r="Q25" s="53" t="str">
        <f>IFERROR(VLOOKUP($K25, Table_Powers, 9, 0), "")</f>
        <v/>
      </c>
      <c r="R25" s="13"/>
      <c r="S25" s="13"/>
      <c r="T25" s="13"/>
    </row>
    <row r="26" spans="1:20" x14ac:dyDescent="0.25">
      <c r="A26" s="35" t="s">
        <v>35</v>
      </c>
      <c r="B26" s="69">
        <f>Adj_Willpower</f>
        <v>3</v>
      </c>
      <c r="C26" s="69"/>
      <c r="D26" s="43"/>
      <c r="F26" s="38" t="s">
        <v>66</v>
      </c>
      <c r="G26" s="39"/>
      <c r="H26" s="40" t="s">
        <v>11</v>
      </c>
      <c r="I26" s="41">
        <f t="shared" si="0"/>
        <v>3</v>
      </c>
      <c r="J26" s="13"/>
      <c r="K26" s="75"/>
      <c r="L26" s="52" t="str">
        <f>IFERROR(VLOOKUP($K26, Table_Powers, 2, 0), "")</f>
        <v/>
      </c>
      <c r="M26" s="52" t="str">
        <f>IFERROR(VLOOKUP($K26, Table_Powers, 3, 0), "")</f>
        <v/>
      </c>
      <c r="N26" s="52" t="str">
        <f>IFERROR(VLOOKUP($K26, Table_Powers, 4, 0), "")</f>
        <v/>
      </c>
      <c r="O26" s="52" t="str">
        <f>IFERROR(VLOOKUP($K26, Table_Powers, 5, 0), "")</f>
        <v/>
      </c>
      <c r="P26" s="52" t="str">
        <f>IFERROR(VLOOKUP($K26, Table_Powers, 6, 0), "")</f>
        <v/>
      </c>
      <c r="Q26" s="53" t="str">
        <f>IFERROR(VLOOKUP($K26, Table_Powers, 9, 0), "")</f>
        <v/>
      </c>
      <c r="R26" s="13"/>
      <c r="S26" s="13"/>
      <c r="T26" s="13"/>
    </row>
    <row r="27" spans="1:20" x14ac:dyDescent="0.25">
      <c r="A27" s="35" t="s">
        <v>36</v>
      </c>
      <c r="B27" s="69">
        <v>0</v>
      </c>
      <c r="C27" s="69"/>
      <c r="D27" s="43"/>
      <c r="K27" s="76"/>
      <c r="L27" s="54"/>
      <c r="M27" s="55" t="str">
        <f>IFERROR(VLOOKUP($K27, Table_Powers, 3, 0), "")</f>
        <v/>
      </c>
      <c r="N27" s="55" t="str">
        <f>IFERROR(VLOOKUP($K27, Table_Powers, 4, 0), "")</f>
        <v/>
      </c>
      <c r="O27" s="55" t="str">
        <f>IFERROR(VLOOKUP($K27, Table_Powers, 5, 0), "")</f>
        <v/>
      </c>
      <c r="P27" s="55" t="str">
        <f>IFERROR(VLOOKUP($K27, Table_Powers, 6, 0), "")</f>
        <v/>
      </c>
      <c r="Q27" s="74" t="str">
        <f>IFERROR(VLOOKUP($K27, Table_Powers, 9, 0), "")</f>
        <v/>
      </c>
    </row>
    <row r="28" spans="1:20" x14ac:dyDescent="0.25">
      <c r="A28" s="35" t="s">
        <v>37</v>
      </c>
      <c r="B28" s="69">
        <f>ROUNDUP(0.5*I10, 0)</f>
        <v>2</v>
      </c>
      <c r="C28" s="69"/>
      <c r="D28" s="43"/>
      <c r="F28" s="2" t="s">
        <v>73</v>
      </c>
      <c r="G28" s="3" t="s">
        <v>12</v>
      </c>
      <c r="H28" s="10" t="s">
        <v>78</v>
      </c>
      <c r="I28" s="3" t="s">
        <v>80</v>
      </c>
      <c r="J28" s="3" t="s">
        <v>79</v>
      </c>
    </row>
    <row r="29" spans="1:20" x14ac:dyDescent="0.25">
      <c r="A29" s="38" t="s">
        <v>38</v>
      </c>
      <c r="B29" s="71">
        <f>Adj_Willpower-1 + INDEX(Table_Species,MATCH(Species,Names_Species,0),MATCH(Character!A29,Table_Species_X,0))</f>
        <v>2</v>
      </c>
      <c r="C29" s="71"/>
      <c r="D29" s="49"/>
      <c r="F29" s="51" t="s">
        <v>146</v>
      </c>
      <c r="G29" s="1">
        <f>IFERROR(VLOOKUP(F29, Table_Armour, 2, 0), 0)</f>
        <v>0</v>
      </c>
      <c r="H29" s="1" t="str">
        <f>IFERROR(VLOOKUP(F29, Table_Armour, 3, 0), "")</f>
        <v>None</v>
      </c>
      <c r="I29" s="12" t="str">
        <f>IFERROR(VLOOKUP(F29, Table_Armour, 4, 0), "")</f>
        <v>None</v>
      </c>
      <c r="J29" s="12" t="str">
        <f>IFERROR(VLOOKUP(F29, Table_Armour, 5, 0), "")</f>
        <v>None</v>
      </c>
      <c r="K29" s="1"/>
      <c r="L29" s="1"/>
      <c r="M29" s="1"/>
    </row>
    <row r="30" spans="1:20" x14ac:dyDescent="0.25">
      <c r="B30" s="72"/>
      <c r="C30" s="72"/>
      <c r="D30" s="1"/>
      <c r="F30" s="2" t="s">
        <v>74</v>
      </c>
      <c r="G30" s="2" t="s">
        <v>81</v>
      </c>
      <c r="H30" s="10" t="s">
        <v>82</v>
      </c>
      <c r="I30" s="2" t="s">
        <v>83</v>
      </c>
      <c r="J30" s="2" t="s">
        <v>84</v>
      </c>
      <c r="K30" s="2" t="s">
        <v>78</v>
      </c>
      <c r="L30" s="2" t="s">
        <v>80</v>
      </c>
      <c r="M30" s="2" t="s">
        <v>79</v>
      </c>
    </row>
    <row r="31" spans="1:20" ht="18" thickBot="1" x14ac:dyDescent="0.35">
      <c r="A31" s="64" t="s">
        <v>34</v>
      </c>
      <c r="B31" s="65"/>
      <c r="C31" s="65"/>
      <c r="D31" s="66"/>
      <c r="F31" s="51"/>
      <c r="G31" s="1"/>
      <c r="H31" s="1"/>
      <c r="I31" s="1"/>
      <c r="J31" s="1"/>
      <c r="K31" s="18"/>
      <c r="L31" s="18"/>
      <c r="M31" s="12"/>
    </row>
    <row r="32" spans="1:20" ht="15.75" thickTop="1" x14ac:dyDescent="0.25">
      <c r="A32" s="42" t="s">
        <v>26</v>
      </c>
      <c r="B32" s="68" t="s">
        <v>12</v>
      </c>
      <c r="C32" s="68"/>
      <c r="D32" s="31" t="s">
        <v>32</v>
      </c>
      <c r="F32" s="2" t="s">
        <v>75</v>
      </c>
      <c r="G32" s="2" t="s">
        <v>81</v>
      </c>
      <c r="H32" s="10" t="s">
        <v>82</v>
      </c>
      <c r="I32" s="2" t="s">
        <v>83</v>
      </c>
      <c r="J32" s="2" t="s">
        <v>84</v>
      </c>
      <c r="K32" s="2" t="s">
        <v>78</v>
      </c>
      <c r="L32" s="2" t="s">
        <v>80</v>
      </c>
      <c r="M32" s="2" t="s">
        <v>79</v>
      </c>
    </row>
    <row r="33" spans="1:13" x14ac:dyDescent="0.25">
      <c r="A33" s="35" t="s">
        <v>39</v>
      </c>
      <c r="B33" s="69">
        <f>Adj_Fellowship-1 + IFERROR(VLOOKUP(Archetype, Table_Archetype, 4, 0), 0) + (Tier_Diff*Ascension!B6)</f>
        <v>3</v>
      </c>
      <c r="C33" s="69"/>
      <c r="D33" s="43"/>
      <c r="F33" s="51"/>
      <c r="G33" s="1"/>
      <c r="H33" s="18"/>
      <c r="I33" s="1"/>
      <c r="J33" s="1"/>
      <c r="K33" s="1"/>
      <c r="L33" s="18"/>
      <c r="M33" s="12"/>
    </row>
    <row r="34" spans="1:13" x14ac:dyDescent="0.25">
      <c r="A34" s="38" t="s">
        <v>40</v>
      </c>
      <c r="B34" s="71">
        <f>Tier</f>
        <v>2</v>
      </c>
      <c r="C34" s="71"/>
      <c r="D34" s="49"/>
      <c r="F34" s="2" t="s">
        <v>76</v>
      </c>
      <c r="G34" s="2" t="s">
        <v>81</v>
      </c>
      <c r="H34" s="10" t="s">
        <v>82</v>
      </c>
      <c r="I34" s="2" t="s">
        <v>83</v>
      </c>
      <c r="J34" s="2" t="s">
        <v>84</v>
      </c>
      <c r="K34" s="2" t="s">
        <v>78</v>
      </c>
      <c r="L34" s="2" t="s">
        <v>80</v>
      </c>
      <c r="M34" s="2" t="s">
        <v>79</v>
      </c>
    </row>
    <row r="35" spans="1:13" x14ac:dyDescent="0.25">
      <c r="D35" s="1"/>
      <c r="F35" s="51"/>
      <c r="G35" s="1"/>
      <c r="H35" s="1"/>
      <c r="I35" s="1"/>
      <c r="J35" s="1"/>
      <c r="K35" s="1"/>
      <c r="L35" s="18"/>
      <c r="M35" s="12"/>
    </row>
    <row r="36" spans="1:13" x14ac:dyDescent="0.25">
      <c r="F36" s="2" t="s">
        <v>77</v>
      </c>
      <c r="G36" s="2" t="s">
        <v>81</v>
      </c>
      <c r="H36" s="10" t="s">
        <v>82</v>
      </c>
      <c r="I36" s="2" t="s">
        <v>83</v>
      </c>
      <c r="J36" s="2" t="s">
        <v>84</v>
      </c>
      <c r="K36" s="2" t="s">
        <v>78</v>
      </c>
      <c r="L36" s="2" t="s">
        <v>80</v>
      </c>
      <c r="M36" s="2" t="s">
        <v>79</v>
      </c>
    </row>
    <row r="37" spans="1:13" x14ac:dyDescent="0.25">
      <c r="F37" s="51" t="s">
        <v>228</v>
      </c>
      <c r="G37" s="1" t="str">
        <f>Adj_Strength &amp; "+1ED"</f>
        <v>3+1ED</v>
      </c>
      <c r="H37" s="1">
        <v>0</v>
      </c>
      <c r="I37" s="1" t="s">
        <v>229</v>
      </c>
      <c r="J37" s="16" t="s">
        <v>230</v>
      </c>
      <c r="K37" s="16" t="s">
        <v>230</v>
      </c>
      <c r="L37" s="16" t="s">
        <v>230</v>
      </c>
      <c r="M37" s="17" t="s">
        <v>230</v>
      </c>
    </row>
  </sheetData>
  <mergeCells count="30">
    <mergeCell ref="B34:C34"/>
    <mergeCell ref="F7:I7"/>
    <mergeCell ref="G2:H2"/>
    <mergeCell ref="G3:H3"/>
    <mergeCell ref="B33:C33"/>
    <mergeCell ref="B32:C32"/>
    <mergeCell ref="B26:C26"/>
    <mergeCell ref="B27:C27"/>
    <mergeCell ref="B28:C28"/>
    <mergeCell ref="B29:C29"/>
    <mergeCell ref="B30:C30"/>
    <mergeCell ref="B19:C19"/>
    <mergeCell ref="B20:C20"/>
    <mergeCell ref="B4:D4"/>
    <mergeCell ref="B21:C21"/>
    <mergeCell ref="B22:C22"/>
    <mergeCell ref="A15:D15"/>
    <mergeCell ref="B16:C16"/>
    <mergeCell ref="B17:C17"/>
    <mergeCell ref="A24:D24"/>
    <mergeCell ref="A31:D31"/>
    <mergeCell ref="B25:C25"/>
    <mergeCell ref="B18:C18"/>
    <mergeCell ref="G1:H1"/>
    <mergeCell ref="J2:Q3"/>
    <mergeCell ref="J1:Q1"/>
    <mergeCell ref="K7:Q7"/>
    <mergeCell ref="B1:D1"/>
    <mergeCell ref="A5:D5"/>
    <mergeCell ref="G5:S6"/>
  </mergeCells>
  <dataValidations count="4">
    <dataValidation type="list" errorStyle="warning" allowBlank="1" showErrorMessage="1" sqref="G2:H2" xr:uid="{2D5AFBEB-34F7-48A4-B517-1B5184688D18}">
      <formula1>Names_Species</formula1>
    </dataValidation>
    <dataValidation type="list" errorStyle="information" allowBlank="1" showErrorMessage="1" sqref="F29" xr:uid="{30C4C68B-82FD-4AC8-BD03-3A58B95E87AC}">
      <formula1>Armour_Names</formula1>
    </dataValidation>
    <dataValidation type="list" errorStyle="information" allowBlank="1" showErrorMessage="1" sqref="G3:H3" xr:uid="{840D7311-C7DC-439F-8E03-01DE6C4A48B3}">
      <formula1>Names_Archetypes</formula1>
    </dataValidation>
    <dataValidation type="list" errorStyle="information" allowBlank="1" showErrorMessage="1" sqref="K9:K26" xr:uid="{E62A53C0-D84A-43C0-A59B-F41B0C5F9FC6}">
      <formula1>Names_Powers</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033AB-9BB3-4ED3-8619-8E6D2274AD71}">
  <dimension ref="A1:F11"/>
  <sheetViews>
    <sheetView workbookViewId="0">
      <selection activeCell="L12" sqref="L12"/>
    </sheetView>
  </sheetViews>
  <sheetFormatPr defaultRowHeight="15" x14ac:dyDescent="0.25"/>
  <cols>
    <col min="1" max="1" width="14.42578125" bestFit="1" customWidth="1"/>
    <col min="2" max="2" width="14.85546875" bestFit="1" customWidth="1"/>
    <col min="3" max="3" width="14.140625" bestFit="1" customWidth="1"/>
  </cols>
  <sheetData>
    <row r="1" spans="1:6" x14ac:dyDescent="0.25">
      <c r="A1" t="s">
        <v>231</v>
      </c>
      <c r="B1" s="8">
        <f>IFERROR(VLOOKUP(Archetype, Table_Archetype, 7, 0), 0)</f>
        <v>2</v>
      </c>
      <c r="C1" t="s">
        <v>232</v>
      </c>
      <c r="D1" s="6"/>
      <c r="F1" t="s">
        <v>251</v>
      </c>
    </row>
    <row r="2" spans="1:6" x14ac:dyDescent="0.25">
      <c r="A2" t="s">
        <v>233</v>
      </c>
      <c r="B2" s="7"/>
      <c r="C2" t="s">
        <v>238</v>
      </c>
      <c r="D2" s="8">
        <f>IFERROR(VLOOKUP(Ascension, Table_Ascensions, 2, 0), 0) * D1</f>
        <v>0</v>
      </c>
    </row>
    <row r="4" spans="1:6" x14ac:dyDescent="0.25">
      <c r="A4" s="72" t="s">
        <v>240</v>
      </c>
      <c r="B4" s="72"/>
      <c r="C4" s="72"/>
      <c r="D4" s="72"/>
    </row>
    <row r="5" spans="1:6" x14ac:dyDescent="0.25">
      <c r="A5" s="22" t="s">
        <v>241</v>
      </c>
      <c r="B5" s="12" t="str">
        <f>IFERROR(VLOOKUP(Ascension, Table_Ascensions, 4, 0), "None")</f>
        <v>None</v>
      </c>
      <c r="C5" s="21"/>
      <c r="D5" s="21"/>
    </row>
    <row r="6" spans="1:6" x14ac:dyDescent="0.25">
      <c r="A6" s="22" t="s">
        <v>242</v>
      </c>
      <c r="B6" s="20">
        <f>IFERROR(VLOOKUP(Ascension, Table_Ascensions, 3, 0), 0)</f>
        <v>0</v>
      </c>
      <c r="C6" s="21"/>
      <c r="D6" s="21"/>
    </row>
    <row r="7" spans="1:6" x14ac:dyDescent="0.25">
      <c r="A7" s="22" t="s">
        <v>249</v>
      </c>
      <c r="B7" s="27" t="str">
        <f>IFERROR(VLOOKUP(Ascension, Table_Ascensions, 5, 0), "None")</f>
        <v>None</v>
      </c>
      <c r="C7" s="21"/>
      <c r="D7" s="21"/>
    </row>
    <row r="8" spans="1:6" x14ac:dyDescent="0.25">
      <c r="A8" s="22" t="s">
        <v>248</v>
      </c>
      <c r="B8" s="26" t="str">
        <f>IFERROR(VLOOKUP(Ascension, Table_Ascensions, 6, 0), "None")</f>
        <v>None</v>
      </c>
      <c r="C8" s="21"/>
      <c r="D8" s="21"/>
    </row>
    <row r="9" spans="1:6" x14ac:dyDescent="0.25">
      <c r="A9" s="21"/>
      <c r="B9" s="21"/>
      <c r="C9" s="21"/>
      <c r="D9" s="21"/>
    </row>
    <row r="10" spans="1:6" x14ac:dyDescent="0.25">
      <c r="A10" s="21"/>
      <c r="B10" s="21"/>
      <c r="C10" s="21"/>
      <c r="D10" s="21"/>
    </row>
    <row r="11" spans="1:6" x14ac:dyDescent="0.25">
      <c r="A11" s="21"/>
      <c r="B11" s="21"/>
      <c r="C11" s="21"/>
      <c r="D11" s="21"/>
    </row>
  </sheetData>
  <mergeCells count="1">
    <mergeCell ref="A4:D4"/>
  </mergeCells>
  <dataValidations count="1">
    <dataValidation type="list" allowBlank="1" showInputMessage="1" showErrorMessage="1" sqref="B2" xr:uid="{68E03113-53EA-4452-84F8-F986AB240D70}">
      <formula1>Names_Ascensions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29A0-A4F8-4224-B834-A9C4036859E8}">
  <dimension ref="A1:AB88"/>
  <sheetViews>
    <sheetView workbookViewId="0">
      <selection activeCell="T24" sqref="T24:T26"/>
    </sheetView>
  </sheetViews>
  <sheetFormatPr defaultRowHeight="15" x14ac:dyDescent="0.25"/>
  <cols>
    <col min="1" max="1" width="13.28515625" customWidth="1"/>
    <col min="3" max="3" width="10.42578125" customWidth="1"/>
    <col min="10" max="10" width="11.28515625" customWidth="1"/>
  </cols>
  <sheetData>
    <row r="1" spans="1:28" ht="15.75" x14ac:dyDescent="0.25">
      <c r="A1" s="9" t="s">
        <v>72</v>
      </c>
    </row>
    <row r="3" spans="1:28" x14ac:dyDescent="0.25">
      <c r="A3" t="s">
        <v>15</v>
      </c>
      <c r="B3" t="s">
        <v>16</v>
      </c>
      <c r="C3" t="s">
        <v>17</v>
      </c>
      <c r="D3" t="s">
        <v>18</v>
      </c>
      <c r="E3" t="s">
        <v>5</v>
      </c>
      <c r="F3" t="s">
        <v>6</v>
      </c>
      <c r="G3" t="s">
        <v>7</v>
      </c>
      <c r="H3" t="s">
        <v>8</v>
      </c>
      <c r="I3" t="s">
        <v>9</v>
      </c>
      <c r="J3" t="s">
        <v>10</v>
      </c>
      <c r="K3" t="s">
        <v>11</v>
      </c>
      <c r="L3" t="s">
        <v>38</v>
      </c>
      <c r="M3" t="s">
        <v>31</v>
      </c>
      <c r="N3" t="s">
        <v>202</v>
      </c>
      <c r="P3" s="3" t="s">
        <v>73</v>
      </c>
      <c r="Q3" s="3" t="s">
        <v>12</v>
      </c>
      <c r="R3" s="3" t="s">
        <v>78</v>
      </c>
      <c r="S3" s="3" t="s">
        <v>80</v>
      </c>
      <c r="T3" s="3" t="s">
        <v>79</v>
      </c>
      <c r="V3" s="3" t="s">
        <v>149</v>
      </c>
      <c r="W3" s="3" t="s">
        <v>150</v>
      </c>
      <c r="X3" s="3" t="s">
        <v>151</v>
      </c>
      <c r="Z3" s="3" t="s">
        <v>152</v>
      </c>
      <c r="AA3" s="3" t="s">
        <v>150</v>
      </c>
      <c r="AB3" s="3" t="s">
        <v>151</v>
      </c>
    </row>
    <row r="4" spans="1:28" x14ac:dyDescent="0.25">
      <c r="A4" t="s">
        <v>19</v>
      </c>
      <c r="B4">
        <v>0</v>
      </c>
      <c r="C4">
        <v>6</v>
      </c>
      <c r="D4" t="s">
        <v>24</v>
      </c>
      <c r="P4" s="13" t="s">
        <v>146</v>
      </c>
      <c r="Q4" s="13">
        <v>0</v>
      </c>
      <c r="R4" s="13" t="s">
        <v>24</v>
      </c>
      <c r="S4" s="14" t="s">
        <v>24</v>
      </c>
      <c r="T4" s="13" t="s">
        <v>24</v>
      </c>
      <c r="V4">
        <v>1</v>
      </c>
      <c r="W4">
        <v>0</v>
      </c>
      <c r="X4">
        <v>0</v>
      </c>
      <c r="Z4">
        <v>1</v>
      </c>
      <c r="AA4">
        <v>1</v>
      </c>
      <c r="AB4">
        <v>1</v>
      </c>
    </row>
    <row r="5" spans="1:28" x14ac:dyDescent="0.25">
      <c r="A5" t="s">
        <v>20</v>
      </c>
      <c r="B5">
        <v>10</v>
      </c>
      <c r="C5">
        <v>8</v>
      </c>
      <c r="D5" t="s">
        <v>68</v>
      </c>
      <c r="F5">
        <v>1</v>
      </c>
      <c r="P5" t="s">
        <v>85</v>
      </c>
      <c r="Q5">
        <v>2</v>
      </c>
      <c r="R5" t="s">
        <v>24</v>
      </c>
      <c r="S5" t="s">
        <v>126</v>
      </c>
      <c r="V5">
        <v>2</v>
      </c>
      <c r="W5">
        <v>4</v>
      </c>
      <c r="X5">
        <v>4</v>
      </c>
      <c r="Z5">
        <v>2</v>
      </c>
      <c r="AA5">
        <v>3</v>
      </c>
      <c r="AB5">
        <v>2</v>
      </c>
    </row>
    <row r="6" spans="1:28" x14ac:dyDescent="0.25">
      <c r="A6" t="s">
        <v>21</v>
      </c>
      <c r="B6">
        <v>10</v>
      </c>
      <c r="C6">
        <v>6</v>
      </c>
      <c r="D6" t="s">
        <v>69</v>
      </c>
      <c r="G6">
        <v>1</v>
      </c>
      <c r="P6" t="s">
        <v>86</v>
      </c>
      <c r="Q6">
        <v>4</v>
      </c>
      <c r="R6" t="s">
        <v>113</v>
      </c>
      <c r="S6" t="s">
        <v>127</v>
      </c>
      <c r="V6">
        <v>3</v>
      </c>
      <c r="W6">
        <v>10</v>
      </c>
      <c r="X6">
        <v>6</v>
      </c>
      <c r="Z6">
        <v>3</v>
      </c>
      <c r="AA6">
        <v>6</v>
      </c>
      <c r="AB6">
        <v>3</v>
      </c>
    </row>
    <row r="7" spans="1:28" x14ac:dyDescent="0.25">
      <c r="A7" t="s">
        <v>22</v>
      </c>
      <c r="B7">
        <v>50</v>
      </c>
      <c r="C7">
        <v>7</v>
      </c>
      <c r="D7" t="s">
        <v>70</v>
      </c>
      <c r="E7">
        <v>1</v>
      </c>
      <c r="F7">
        <v>1</v>
      </c>
      <c r="G7">
        <v>1</v>
      </c>
      <c r="L7">
        <v>1</v>
      </c>
      <c r="P7" t="s">
        <v>87</v>
      </c>
      <c r="Q7">
        <v>3</v>
      </c>
      <c r="R7" t="s">
        <v>24</v>
      </c>
      <c r="S7" t="s">
        <v>128</v>
      </c>
      <c r="V7">
        <v>4</v>
      </c>
      <c r="W7">
        <v>18</v>
      </c>
      <c r="X7">
        <v>8</v>
      </c>
      <c r="Z7">
        <v>4</v>
      </c>
      <c r="AA7">
        <v>10</v>
      </c>
      <c r="AB7">
        <v>4</v>
      </c>
    </row>
    <row r="8" spans="1:28" x14ac:dyDescent="0.25">
      <c r="A8" t="s">
        <v>23</v>
      </c>
      <c r="B8">
        <v>100</v>
      </c>
      <c r="C8">
        <v>6</v>
      </c>
      <c r="D8" t="s">
        <v>71</v>
      </c>
      <c r="E8">
        <v>2</v>
      </c>
      <c r="F8">
        <v>1</v>
      </c>
      <c r="G8">
        <v>1</v>
      </c>
      <c r="L8">
        <v>1</v>
      </c>
      <c r="M8">
        <v>4</v>
      </c>
      <c r="P8" t="s">
        <v>88</v>
      </c>
      <c r="Q8">
        <v>3</v>
      </c>
      <c r="R8" t="s">
        <v>24</v>
      </c>
      <c r="S8" t="s">
        <v>129</v>
      </c>
      <c r="V8">
        <v>5</v>
      </c>
      <c r="W8">
        <v>33</v>
      </c>
      <c r="X8">
        <v>15</v>
      </c>
      <c r="Z8">
        <v>5</v>
      </c>
      <c r="AA8">
        <v>20</v>
      </c>
      <c r="AB8">
        <v>10</v>
      </c>
    </row>
    <row r="9" spans="1:28" x14ac:dyDescent="0.25">
      <c r="P9" t="s">
        <v>89</v>
      </c>
      <c r="Q9">
        <v>3</v>
      </c>
      <c r="R9" t="s">
        <v>24</v>
      </c>
      <c r="S9" t="s">
        <v>126</v>
      </c>
      <c r="V9">
        <v>6</v>
      </c>
      <c r="W9">
        <v>51</v>
      </c>
      <c r="X9">
        <v>18</v>
      </c>
      <c r="Z9">
        <v>6</v>
      </c>
      <c r="AA9">
        <v>32</v>
      </c>
      <c r="AB9">
        <v>12</v>
      </c>
    </row>
    <row r="10" spans="1:28" x14ac:dyDescent="0.25">
      <c r="P10" t="s">
        <v>90</v>
      </c>
      <c r="Q10">
        <v>2</v>
      </c>
      <c r="R10" t="s">
        <v>114</v>
      </c>
      <c r="S10" t="s">
        <v>130</v>
      </c>
      <c r="V10">
        <v>7</v>
      </c>
      <c r="W10">
        <v>72</v>
      </c>
      <c r="X10">
        <v>21</v>
      </c>
      <c r="Z10">
        <v>7</v>
      </c>
      <c r="AA10">
        <v>46</v>
      </c>
      <c r="AB10">
        <v>14</v>
      </c>
    </row>
    <row r="11" spans="1:28" x14ac:dyDescent="0.25">
      <c r="P11" t="s">
        <v>91</v>
      </c>
      <c r="Q11">
        <v>3</v>
      </c>
      <c r="R11" t="s">
        <v>24</v>
      </c>
      <c r="S11" t="s">
        <v>131</v>
      </c>
      <c r="V11">
        <v>8</v>
      </c>
      <c r="W11">
        <v>104</v>
      </c>
      <c r="X11">
        <v>32</v>
      </c>
      <c r="Z11">
        <v>8</v>
      </c>
      <c r="AA11">
        <v>60</v>
      </c>
      <c r="AB11">
        <v>24</v>
      </c>
    </row>
    <row r="12" spans="1:28" x14ac:dyDescent="0.25">
      <c r="P12" t="s">
        <v>92</v>
      </c>
      <c r="Q12">
        <v>4</v>
      </c>
      <c r="R12" t="s">
        <v>24</v>
      </c>
      <c r="S12" t="s">
        <v>132</v>
      </c>
      <c r="V12">
        <v>9</v>
      </c>
      <c r="W12">
        <v>140</v>
      </c>
      <c r="X12">
        <v>36</v>
      </c>
    </row>
    <row r="13" spans="1:28" x14ac:dyDescent="0.25">
      <c r="P13" t="s">
        <v>93</v>
      </c>
      <c r="Q13">
        <v>6</v>
      </c>
      <c r="R13" t="s">
        <v>115</v>
      </c>
      <c r="S13" t="s">
        <v>133</v>
      </c>
      <c r="V13">
        <v>10</v>
      </c>
      <c r="W13">
        <v>180</v>
      </c>
      <c r="X13">
        <v>40</v>
      </c>
    </row>
    <row r="14" spans="1:28" x14ac:dyDescent="0.25">
      <c r="P14" t="s">
        <v>94</v>
      </c>
      <c r="Q14">
        <v>5</v>
      </c>
      <c r="R14" t="s">
        <v>116</v>
      </c>
      <c r="S14" t="s">
        <v>134</v>
      </c>
      <c r="V14">
        <v>11</v>
      </c>
      <c r="W14">
        <v>235</v>
      </c>
      <c r="X14">
        <v>55</v>
      </c>
    </row>
    <row r="15" spans="1:28" x14ac:dyDescent="0.25">
      <c r="P15" t="s">
        <v>95</v>
      </c>
      <c r="Q15">
        <v>4</v>
      </c>
      <c r="R15" t="s">
        <v>117</v>
      </c>
      <c r="S15" t="s">
        <v>132</v>
      </c>
      <c r="V15">
        <v>12</v>
      </c>
      <c r="W15">
        <v>307</v>
      </c>
      <c r="X15">
        <v>72</v>
      </c>
    </row>
    <row r="16" spans="1:28" x14ac:dyDescent="0.25">
      <c r="A16" t="s">
        <v>147</v>
      </c>
      <c r="P16" t="s">
        <v>96</v>
      </c>
      <c r="Q16">
        <v>5</v>
      </c>
      <c r="R16" t="s">
        <v>116</v>
      </c>
      <c r="S16" t="s">
        <v>132</v>
      </c>
    </row>
    <row r="17" spans="1:20" x14ac:dyDescent="0.25">
      <c r="A17" t="s">
        <v>148</v>
      </c>
      <c r="B17">
        <f>Tier*100-B18-B19-B24-B29-D17-D18</f>
        <v>90</v>
      </c>
      <c r="C17" t="s">
        <v>233</v>
      </c>
      <c r="D17">
        <f>Ascension!D2</f>
        <v>0</v>
      </c>
      <c r="P17" t="s">
        <v>97</v>
      </c>
      <c r="Q17">
        <v>5</v>
      </c>
      <c r="R17" t="s">
        <v>118</v>
      </c>
      <c r="S17" t="s">
        <v>133</v>
      </c>
    </row>
    <row r="18" spans="1:20" x14ac:dyDescent="0.25">
      <c r="A18" t="s">
        <v>42</v>
      </c>
      <c r="B18">
        <f>VLOOKUP(Species, Table_Species, 2, 0)</f>
        <v>0</v>
      </c>
      <c r="C18" t="s">
        <v>258</v>
      </c>
      <c r="D18">
        <f>SUM(Character!Q9:Q27)</f>
        <v>0</v>
      </c>
      <c r="P18" t="s">
        <v>98</v>
      </c>
      <c r="Q18">
        <v>4</v>
      </c>
      <c r="R18" t="s">
        <v>24</v>
      </c>
      <c r="S18" t="s">
        <v>131</v>
      </c>
    </row>
    <row r="19" spans="1:20" x14ac:dyDescent="0.25">
      <c r="A19" t="s">
        <v>43</v>
      </c>
      <c r="B19">
        <f>IFERROR(VLOOKUP(Character!G3, Table_Archetype, 2, 0), 0)</f>
        <v>40</v>
      </c>
      <c r="P19" t="s">
        <v>99</v>
      </c>
      <c r="Q19">
        <v>5</v>
      </c>
      <c r="R19" t="s">
        <v>119</v>
      </c>
      <c r="S19" t="s">
        <v>135</v>
      </c>
    </row>
    <row r="20" spans="1:20" x14ac:dyDescent="0.25">
      <c r="P20" t="s">
        <v>100</v>
      </c>
      <c r="Q20">
        <v>7</v>
      </c>
      <c r="R20" t="s">
        <v>120</v>
      </c>
      <c r="S20" t="s">
        <v>136</v>
      </c>
    </row>
    <row r="21" spans="1:20" x14ac:dyDescent="0.25">
      <c r="A21" t="s">
        <v>4</v>
      </c>
      <c r="B21" t="s">
        <v>153</v>
      </c>
      <c r="C21" t="s">
        <v>154</v>
      </c>
      <c r="D21" t="s">
        <v>155</v>
      </c>
      <c r="E21" t="s">
        <v>156</v>
      </c>
      <c r="F21" t="s">
        <v>157</v>
      </c>
      <c r="G21" t="s">
        <v>158</v>
      </c>
      <c r="H21" t="s">
        <v>159</v>
      </c>
      <c r="I21" t="s">
        <v>160</v>
      </c>
      <c r="J21" t="s">
        <v>161</v>
      </c>
      <c r="K21" t="s">
        <v>162</v>
      </c>
      <c r="L21" t="s">
        <v>163</v>
      </c>
      <c r="M21" t="s">
        <v>164</v>
      </c>
      <c r="P21" t="s">
        <v>101</v>
      </c>
      <c r="Q21">
        <v>3</v>
      </c>
      <c r="R21" t="s">
        <v>121</v>
      </c>
      <c r="S21" t="s">
        <v>131</v>
      </c>
    </row>
    <row r="22" spans="1:20" x14ac:dyDescent="0.25">
      <c r="A22" t="s">
        <v>12</v>
      </c>
      <c r="B22">
        <f>COUNTIF(Character!$B$7:$B$13, 1)</f>
        <v>0</v>
      </c>
      <c r="C22">
        <f>COUNTIF(Character!$B$7:$B$13, 2)</f>
        <v>0</v>
      </c>
      <c r="D22">
        <f>COUNTIF(Character!$B$7:$B$13, 3)</f>
        <v>7</v>
      </c>
      <c r="E22">
        <f>COUNTIF(Character!$B$7:$B$13, 4)</f>
        <v>0</v>
      </c>
      <c r="F22">
        <f>COUNTIF(Character!$B$7:$B$13, 5)</f>
        <v>0</v>
      </c>
      <c r="G22">
        <f>COUNTIF(Character!$B$7:$B$13, 6)</f>
        <v>0</v>
      </c>
      <c r="H22">
        <f>COUNTIF(Character!$B$7:$B$13,7)</f>
        <v>0</v>
      </c>
      <c r="I22">
        <f>COUNTIF(Character!$B$7:$B$13, 8)</f>
        <v>0</v>
      </c>
      <c r="J22">
        <f>COUNTIF(Character!$B$7:$B$13, 9)</f>
        <v>0</v>
      </c>
      <c r="K22">
        <f>COUNTIF(Character!$B$7:$B$13, 10)</f>
        <v>0</v>
      </c>
      <c r="L22">
        <f>COUNTIF(Character!$B$7:$B$13, 11)</f>
        <v>0</v>
      </c>
      <c r="M22">
        <f>COUNTIF(Character!$B$7:$B$13, 12)</f>
        <v>0</v>
      </c>
      <c r="P22" t="s">
        <v>102</v>
      </c>
      <c r="Q22">
        <v>4</v>
      </c>
      <c r="R22" t="s">
        <v>121</v>
      </c>
      <c r="S22" t="s">
        <v>134</v>
      </c>
    </row>
    <row r="23" spans="1:20" x14ac:dyDescent="0.25">
      <c r="A23" t="s">
        <v>166</v>
      </c>
      <c r="B23">
        <f>B22*$W4</f>
        <v>0</v>
      </c>
      <c r="C23">
        <f>C22*$W5</f>
        <v>0</v>
      </c>
      <c r="D23">
        <f>D22*$W6</f>
        <v>70</v>
      </c>
      <c r="E23">
        <f>E22*$W7</f>
        <v>0</v>
      </c>
      <c r="F23">
        <f>F22*$W8</f>
        <v>0</v>
      </c>
      <c r="G23">
        <f>G22*$W9</f>
        <v>0</v>
      </c>
      <c r="H23">
        <f>H22*$W10</f>
        <v>0</v>
      </c>
      <c r="I23">
        <f>I22*$W11</f>
        <v>0</v>
      </c>
      <c r="J23">
        <f>J22*$W12</f>
        <v>0</v>
      </c>
      <c r="K23">
        <f>K22*$W13</f>
        <v>0</v>
      </c>
      <c r="L23">
        <f>L22*$W14</f>
        <v>0</v>
      </c>
      <c r="M23">
        <f>M22*$W15</f>
        <v>0</v>
      </c>
      <c r="P23" t="s">
        <v>103</v>
      </c>
      <c r="Q23">
        <v>2</v>
      </c>
      <c r="R23" t="s">
        <v>122</v>
      </c>
      <c r="S23" t="s">
        <v>137</v>
      </c>
    </row>
    <row r="24" spans="1:20" x14ac:dyDescent="0.25">
      <c r="A24" t="s">
        <v>167</v>
      </c>
      <c r="B24">
        <f>SUM(B23:M23)</f>
        <v>70</v>
      </c>
      <c r="P24" t="s">
        <v>104</v>
      </c>
      <c r="Q24">
        <v>3</v>
      </c>
      <c r="R24" t="s">
        <v>24</v>
      </c>
      <c r="S24" t="s">
        <v>126</v>
      </c>
      <c r="T24" t="s">
        <v>368</v>
      </c>
    </row>
    <row r="25" spans="1:20" x14ac:dyDescent="0.25">
      <c r="P25" t="s">
        <v>105</v>
      </c>
      <c r="Q25">
        <v>3</v>
      </c>
      <c r="R25" t="s">
        <v>24</v>
      </c>
      <c r="S25" t="s">
        <v>138</v>
      </c>
      <c r="T25" t="s">
        <v>369</v>
      </c>
    </row>
    <row r="26" spans="1:20" x14ac:dyDescent="0.25">
      <c r="A26" t="s">
        <v>45</v>
      </c>
      <c r="B26" t="s">
        <v>153</v>
      </c>
      <c r="C26" t="s">
        <v>154</v>
      </c>
      <c r="D26" t="s">
        <v>155</v>
      </c>
      <c r="E26" t="s">
        <v>156</v>
      </c>
      <c r="F26" t="s">
        <v>157</v>
      </c>
      <c r="G26" t="s">
        <v>158</v>
      </c>
      <c r="H26" t="s">
        <v>159</v>
      </c>
      <c r="I26" t="s">
        <v>160</v>
      </c>
      <c r="P26" t="s">
        <v>106</v>
      </c>
      <c r="Q26">
        <v>4</v>
      </c>
      <c r="R26" t="s">
        <v>24</v>
      </c>
      <c r="S26" t="s">
        <v>132</v>
      </c>
      <c r="T26" t="s">
        <v>370</v>
      </c>
    </row>
    <row r="27" spans="1:20" x14ac:dyDescent="0.25">
      <c r="A27" t="s">
        <v>12</v>
      </c>
      <c r="B27">
        <f>COUNTIF(Character!$G$9:$G$26, 1)</f>
        <v>0</v>
      </c>
      <c r="C27">
        <f>COUNTIF(Character!$G$9:$G$26, 2)</f>
        <v>0</v>
      </c>
      <c r="D27">
        <f>COUNTIF(Character!$G$9:$G$26, 3)</f>
        <v>0</v>
      </c>
      <c r="E27">
        <f>COUNTIF(Character!$G$9:$G$26, 4)</f>
        <v>0</v>
      </c>
      <c r="F27">
        <f>COUNTIF(Character!$G$9:$G$26, 5)</f>
        <v>0</v>
      </c>
      <c r="G27">
        <f>COUNTIF(Character!$G$9:$G$26, 6)</f>
        <v>0</v>
      </c>
      <c r="H27">
        <f>COUNTIF(Character!$G$9:$G$26, 7)</f>
        <v>0</v>
      </c>
      <c r="I27">
        <f>COUNTIF(Character!$G$9:$G$26, 8)</f>
        <v>0</v>
      </c>
      <c r="P27" t="s">
        <v>107</v>
      </c>
      <c r="Q27">
        <v>2</v>
      </c>
      <c r="R27" t="s">
        <v>123</v>
      </c>
      <c r="S27" t="s">
        <v>139</v>
      </c>
    </row>
    <row r="28" spans="1:20" x14ac:dyDescent="0.25">
      <c r="A28" t="s">
        <v>166</v>
      </c>
      <c r="B28">
        <f>B27*$AA4</f>
        <v>0</v>
      </c>
      <c r="C28">
        <f>C27*$AA5</f>
        <v>0</v>
      </c>
      <c r="D28">
        <f>D27*$AA6</f>
        <v>0</v>
      </c>
      <c r="E28">
        <f>E27*$AA7</f>
        <v>0</v>
      </c>
      <c r="F28">
        <f>F27*$AA8</f>
        <v>0</v>
      </c>
      <c r="G28">
        <f>G27*$AA9</f>
        <v>0</v>
      </c>
      <c r="H28">
        <f>H27*$AA10</f>
        <v>0</v>
      </c>
      <c r="I28" s="13">
        <f>I27*$AA11</f>
        <v>0</v>
      </c>
      <c r="P28" t="s">
        <v>108</v>
      </c>
      <c r="Q28">
        <v>4</v>
      </c>
      <c r="R28" t="s">
        <v>121</v>
      </c>
      <c r="S28" t="s">
        <v>140</v>
      </c>
    </row>
    <row r="29" spans="1:20" x14ac:dyDescent="0.25">
      <c r="A29" t="s">
        <v>165</v>
      </c>
      <c r="B29">
        <f>SUM(B28:I28)</f>
        <v>0</v>
      </c>
      <c r="P29" t="s">
        <v>109</v>
      </c>
      <c r="Q29">
        <v>5</v>
      </c>
      <c r="R29" t="s">
        <v>114</v>
      </c>
      <c r="S29" t="s">
        <v>141</v>
      </c>
    </row>
    <row r="30" spans="1:20" x14ac:dyDescent="0.25">
      <c r="I30" t="s">
        <v>239</v>
      </c>
      <c r="J30">
        <f>Ascension!D1-Ascension!B1</f>
        <v>-2</v>
      </c>
      <c r="P30" s="11" t="s">
        <v>110</v>
      </c>
      <c r="Q30">
        <v>4</v>
      </c>
      <c r="R30" t="s">
        <v>125</v>
      </c>
      <c r="S30" t="s">
        <v>142</v>
      </c>
    </row>
    <row r="31" spans="1:20" x14ac:dyDescent="0.25">
      <c r="A31" t="s">
        <v>43</v>
      </c>
      <c r="B31" t="s">
        <v>16</v>
      </c>
      <c r="C31" t="s">
        <v>79</v>
      </c>
      <c r="D31" t="s">
        <v>39</v>
      </c>
      <c r="E31" t="s">
        <v>168</v>
      </c>
      <c r="F31" t="s">
        <v>169</v>
      </c>
      <c r="G31" t="s">
        <v>1</v>
      </c>
      <c r="I31" s="3" t="s">
        <v>233</v>
      </c>
      <c r="J31" t="s">
        <v>235</v>
      </c>
      <c r="K31" t="s">
        <v>237</v>
      </c>
      <c r="L31" t="s">
        <v>202</v>
      </c>
      <c r="M31" t="s">
        <v>243</v>
      </c>
      <c r="N31" t="s">
        <v>169</v>
      </c>
      <c r="P31" t="s">
        <v>111</v>
      </c>
      <c r="Q31">
        <v>7</v>
      </c>
      <c r="R31" t="s">
        <v>124</v>
      </c>
      <c r="S31" t="s">
        <v>135</v>
      </c>
    </row>
    <row r="32" spans="1:20" x14ac:dyDescent="0.25">
      <c r="A32" t="s">
        <v>170</v>
      </c>
      <c r="B32">
        <v>0</v>
      </c>
      <c r="C32" t="s">
        <v>203</v>
      </c>
      <c r="D32">
        <v>1</v>
      </c>
      <c r="G32">
        <v>1</v>
      </c>
      <c r="I32" t="s">
        <v>234</v>
      </c>
      <c r="J32">
        <v>10</v>
      </c>
      <c r="K32">
        <v>1</v>
      </c>
      <c r="L32" s="4" t="s">
        <v>245</v>
      </c>
      <c r="M32" s="13" t="s">
        <v>246</v>
      </c>
      <c r="N32" s="13" t="s">
        <v>247</v>
      </c>
      <c r="P32" t="s">
        <v>112</v>
      </c>
      <c r="Q32">
        <v>2</v>
      </c>
      <c r="R32" t="s">
        <v>24</v>
      </c>
      <c r="S32" t="s">
        <v>143</v>
      </c>
    </row>
    <row r="33" spans="1:17" x14ac:dyDescent="0.25">
      <c r="A33" t="s">
        <v>171</v>
      </c>
      <c r="B33">
        <v>20</v>
      </c>
      <c r="C33" t="s">
        <v>203</v>
      </c>
      <c r="D33">
        <v>0</v>
      </c>
      <c r="G33">
        <v>2</v>
      </c>
      <c r="I33" t="s">
        <v>236</v>
      </c>
      <c r="J33">
        <v>10</v>
      </c>
      <c r="K33">
        <v>1</v>
      </c>
      <c r="L33" s="4" t="s">
        <v>244</v>
      </c>
      <c r="M33" s="13" t="s">
        <v>250</v>
      </c>
      <c r="N33" s="13" t="s">
        <v>24</v>
      </c>
    </row>
    <row r="34" spans="1:17" x14ac:dyDescent="0.25">
      <c r="A34" t="s">
        <v>172</v>
      </c>
      <c r="B34">
        <v>40</v>
      </c>
      <c r="C34" t="s">
        <v>203</v>
      </c>
      <c r="D34">
        <v>1</v>
      </c>
      <c r="G34">
        <v>3</v>
      </c>
    </row>
    <row r="35" spans="1:17" x14ac:dyDescent="0.25">
      <c r="A35" t="s">
        <v>173</v>
      </c>
      <c r="B35">
        <v>0</v>
      </c>
      <c r="C35" t="s">
        <v>204</v>
      </c>
      <c r="D35">
        <v>0</v>
      </c>
      <c r="G35">
        <v>1</v>
      </c>
      <c r="I35" s="2" t="s">
        <v>259</v>
      </c>
      <c r="J35" s="2" t="s">
        <v>260</v>
      </c>
      <c r="K35" s="2" t="s">
        <v>264</v>
      </c>
      <c r="L35" s="2" t="s">
        <v>263</v>
      </c>
      <c r="M35" s="2" t="s">
        <v>83</v>
      </c>
      <c r="N35" s="2" t="s">
        <v>265</v>
      </c>
      <c r="O35" s="2" t="s">
        <v>79</v>
      </c>
      <c r="P35" s="2" t="s">
        <v>261</v>
      </c>
      <c r="Q35" s="2" t="s">
        <v>262</v>
      </c>
    </row>
    <row r="36" spans="1:17" x14ac:dyDescent="0.25">
      <c r="A36" t="s">
        <v>174</v>
      </c>
      <c r="B36">
        <v>40</v>
      </c>
      <c r="C36" t="s">
        <v>204</v>
      </c>
      <c r="D36">
        <v>1</v>
      </c>
      <c r="E36" t="s">
        <v>252</v>
      </c>
      <c r="G36">
        <v>2</v>
      </c>
      <c r="I36" s="18" t="s">
        <v>266</v>
      </c>
      <c r="J36" s="18">
        <v>4</v>
      </c>
      <c r="K36" s="18" t="s">
        <v>281</v>
      </c>
      <c r="L36" s="18" t="s">
        <v>286</v>
      </c>
      <c r="M36" s="18" t="s">
        <v>289</v>
      </c>
      <c r="N36" s="18" t="s">
        <v>296</v>
      </c>
      <c r="O36" s="18" t="s">
        <v>297</v>
      </c>
      <c r="P36" s="18" t="s">
        <v>303</v>
      </c>
      <c r="Q36" s="18">
        <v>8</v>
      </c>
    </row>
    <row r="37" spans="1:17" x14ac:dyDescent="0.25">
      <c r="A37" t="s">
        <v>175</v>
      </c>
      <c r="B37">
        <v>0</v>
      </c>
      <c r="C37" t="s">
        <v>206</v>
      </c>
      <c r="D37">
        <v>0</v>
      </c>
      <c r="G37">
        <v>1</v>
      </c>
      <c r="I37" s="18" t="s">
        <v>267</v>
      </c>
      <c r="J37" s="18">
        <v>5</v>
      </c>
      <c r="K37" s="18" t="s">
        <v>282</v>
      </c>
      <c r="L37" s="18" t="s">
        <v>287</v>
      </c>
      <c r="M37" s="18" t="s">
        <v>290</v>
      </c>
      <c r="N37" s="18" t="s">
        <v>296</v>
      </c>
      <c r="O37" s="18" t="s">
        <v>297</v>
      </c>
      <c r="P37" s="18" t="s">
        <v>303</v>
      </c>
      <c r="Q37" s="18">
        <v>10</v>
      </c>
    </row>
    <row r="38" spans="1:17" x14ac:dyDescent="0.25">
      <c r="A38" t="s">
        <v>176</v>
      </c>
      <c r="B38">
        <v>30</v>
      </c>
      <c r="C38" t="s">
        <v>201</v>
      </c>
      <c r="D38">
        <v>1</v>
      </c>
      <c r="G38">
        <v>2</v>
      </c>
      <c r="I38" s="18" t="s">
        <v>268</v>
      </c>
      <c r="J38" s="18">
        <v>3</v>
      </c>
      <c r="K38" s="18" t="s">
        <v>283</v>
      </c>
      <c r="L38" s="18" t="s">
        <v>286</v>
      </c>
      <c r="M38" s="18" t="s">
        <v>289</v>
      </c>
      <c r="N38" s="18" t="s">
        <v>296</v>
      </c>
      <c r="O38" s="18" t="s">
        <v>297</v>
      </c>
      <c r="P38" s="18" t="s">
        <v>303</v>
      </c>
      <c r="Q38" s="18">
        <v>5</v>
      </c>
    </row>
    <row r="39" spans="1:17" x14ac:dyDescent="0.25">
      <c r="A39" t="s">
        <v>177</v>
      </c>
      <c r="B39">
        <v>50</v>
      </c>
      <c r="C39" t="s">
        <v>205</v>
      </c>
      <c r="D39">
        <v>3</v>
      </c>
      <c r="G39">
        <v>3</v>
      </c>
      <c r="I39" s="18" t="s">
        <v>269</v>
      </c>
      <c r="J39" s="18">
        <v>4</v>
      </c>
      <c r="K39" s="18" t="s">
        <v>284</v>
      </c>
      <c r="L39" s="18" t="s">
        <v>286</v>
      </c>
      <c r="M39" s="18" t="s">
        <v>289</v>
      </c>
      <c r="N39" s="18" t="s">
        <v>296</v>
      </c>
      <c r="O39" s="18" t="s">
        <v>298</v>
      </c>
      <c r="P39" s="18" t="s">
        <v>303</v>
      </c>
      <c r="Q39" s="18">
        <v>10</v>
      </c>
    </row>
    <row r="40" spans="1:17" x14ac:dyDescent="0.25">
      <c r="A40" t="s">
        <v>178</v>
      </c>
      <c r="B40">
        <v>20</v>
      </c>
      <c r="C40" t="s">
        <v>211</v>
      </c>
      <c r="D40">
        <v>1</v>
      </c>
      <c r="G40">
        <v>2</v>
      </c>
      <c r="I40" s="18" t="s">
        <v>270</v>
      </c>
      <c r="J40" s="18">
        <v>4</v>
      </c>
      <c r="K40" s="18" t="s">
        <v>284</v>
      </c>
      <c r="L40" s="18" t="s">
        <v>287</v>
      </c>
      <c r="M40" s="18" t="s">
        <v>290</v>
      </c>
      <c r="N40" s="18" t="s">
        <v>295</v>
      </c>
      <c r="O40" s="18" t="s">
        <v>297</v>
      </c>
      <c r="P40" s="18" t="s">
        <v>303</v>
      </c>
      <c r="Q40" s="18">
        <v>8</v>
      </c>
    </row>
    <row r="41" spans="1:17" x14ac:dyDescent="0.25">
      <c r="A41" t="s">
        <v>179</v>
      </c>
      <c r="B41">
        <v>50</v>
      </c>
      <c r="C41" t="s">
        <v>211</v>
      </c>
      <c r="D41">
        <v>2</v>
      </c>
      <c r="G41">
        <v>3</v>
      </c>
      <c r="I41" s="18" t="s">
        <v>271</v>
      </c>
      <c r="J41" s="18">
        <v>4</v>
      </c>
      <c r="K41" s="18" t="s">
        <v>281</v>
      </c>
      <c r="L41" s="18" t="s">
        <v>288</v>
      </c>
      <c r="M41" s="18" t="s">
        <v>290</v>
      </c>
      <c r="N41" s="18" t="s">
        <v>295</v>
      </c>
      <c r="O41" s="18" t="s">
        <v>299</v>
      </c>
      <c r="P41" s="18" t="s">
        <v>303</v>
      </c>
      <c r="Q41" s="18">
        <v>8</v>
      </c>
    </row>
    <row r="42" spans="1:17" x14ac:dyDescent="0.25">
      <c r="A42" t="s">
        <v>180</v>
      </c>
      <c r="B42">
        <v>60</v>
      </c>
      <c r="C42" t="s">
        <v>212</v>
      </c>
      <c r="D42">
        <v>1</v>
      </c>
      <c r="G42">
        <v>4</v>
      </c>
      <c r="I42" s="18" t="s">
        <v>272</v>
      </c>
      <c r="J42" s="18">
        <v>4</v>
      </c>
      <c r="K42" s="18" t="s">
        <v>282</v>
      </c>
      <c r="L42" s="18" t="s">
        <v>287</v>
      </c>
      <c r="M42" s="18" t="s">
        <v>289</v>
      </c>
      <c r="N42" s="18" t="s">
        <v>296</v>
      </c>
      <c r="O42" s="18" t="s">
        <v>297</v>
      </c>
      <c r="P42" s="18" t="s">
        <v>303</v>
      </c>
      <c r="Q42" s="18">
        <v>10</v>
      </c>
    </row>
    <row r="43" spans="1:17" x14ac:dyDescent="0.25">
      <c r="A43" t="s">
        <v>181</v>
      </c>
      <c r="B43">
        <v>0</v>
      </c>
      <c r="C43" t="s">
        <v>207</v>
      </c>
      <c r="D43">
        <v>2</v>
      </c>
      <c r="G43">
        <v>1</v>
      </c>
      <c r="I43" s="18" t="s">
        <v>273</v>
      </c>
      <c r="J43" s="18">
        <v>4</v>
      </c>
      <c r="K43" s="18" t="s">
        <v>281</v>
      </c>
      <c r="L43" s="18" t="s">
        <v>286</v>
      </c>
      <c r="M43" s="18" t="s">
        <v>290</v>
      </c>
      <c r="N43" s="18" t="s">
        <v>295</v>
      </c>
      <c r="O43" s="18" t="s">
        <v>297</v>
      </c>
      <c r="P43" s="18" t="s">
        <v>303</v>
      </c>
      <c r="Q43" s="18">
        <v>8</v>
      </c>
    </row>
    <row r="44" spans="1:17" x14ac:dyDescent="0.25">
      <c r="A44" t="s">
        <v>182</v>
      </c>
      <c r="B44">
        <v>0</v>
      </c>
      <c r="C44" t="s">
        <v>208</v>
      </c>
      <c r="D44">
        <v>1</v>
      </c>
      <c r="G44">
        <v>1</v>
      </c>
      <c r="I44" s="18" t="s">
        <v>274</v>
      </c>
      <c r="J44" s="18">
        <v>4</v>
      </c>
      <c r="K44" s="18" t="s">
        <v>281</v>
      </c>
      <c r="L44" s="18" t="s">
        <v>288</v>
      </c>
      <c r="M44" s="18" t="s">
        <v>291</v>
      </c>
      <c r="N44" s="18" t="s">
        <v>295</v>
      </c>
      <c r="O44" s="18" t="s">
        <v>300</v>
      </c>
      <c r="P44" s="18" t="s">
        <v>303</v>
      </c>
      <c r="Q44" s="18">
        <v>10</v>
      </c>
    </row>
    <row r="45" spans="1:17" x14ac:dyDescent="0.25">
      <c r="A45" t="s">
        <v>183</v>
      </c>
      <c r="B45">
        <v>40</v>
      </c>
      <c r="C45" t="s">
        <v>209</v>
      </c>
      <c r="D45">
        <v>2</v>
      </c>
      <c r="G45">
        <v>2</v>
      </c>
      <c r="I45" s="18" t="s">
        <v>275</v>
      </c>
      <c r="J45" s="18">
        <v>4</v>
      </c>
      <c r="K45" s="18" t="s">
        <v>285</v>
      </c>
      <c r="L45" s="18" t="s">
        <v>286</v>
      </c>
      <c r="M45" s="18" t="s">
        <v>289</v>
      </c>
      <c r="N45" s="18" t="s">
        <v>296</v>
      </c>
      <c r="O45" s="18" t="s">
        <v>297</v>
      </c>
      <c r="P45" s="18" t="s">
        <v>303</v>
      </c>
      <c r="Q45" s="18">
        <v>7</v>
      </c>
    </row>
    <row r="46" spans="1:17" x14ac:dyDescent="0.25">
      <c r="A46" t="s">
        <v>184</v>
      </c>
      <c r="B46">
        <v>50</v>
      </c>
      <c r="C46" t="s">
        <v>210</v>
      </c>
      <c r="D46">
        <v>0</v>
      </c>
      <c r="G46">
        <v>2</v>
      </c>
      <c r="I46" s="18" t="s">
        <v>276</v>
      </c>
      <c r="J46" s="18">
        <v>2</v>
      </c>
      <c r="K46" s="18" t="s">
        <v>285</v>
      </c>
      <c r="L46" s="18" t="s">
        <v>286</v>
      </c>
      <c r="M46" s="18" t="s">
        <v>290</v>
      </c>
      <c r="N46" s="18" t="s">
        <v>296</v>
      </c>
      <c r="O46" s="18" t="s">
        <v>301</v>
      </c>
      <c r="P46" s="18" t="s">
        <v>303</v>
      </c>
      <c r="Q46" s="18">
        <v>5</v>
      </c>
    </row>
    <row r="47" spans="1:17" x14ac:dyDescent="0.25">
      <c r="A47" t="s">
        <v>185</v>
      </c>
      <c r="B47">
        <v>70</v>
      </c>
      <c r="C47" t="s">
        <v>207</v>
      </c>
      <c r="D47">
        <v>4</v>
      </c>
      <c r="G47">
        <v>4</v>
      </c>
      <c r="I47" s="18" t="s">
        <v>277</v>
      </c>
      <c r="J47" s="18">
        <v>4</v>
      </c>
      <c r="K47" s="18" t="s">
        <v>283</v>
      </c>
      <c r="L47" s="18" t="s">
        <v>286</v>
      </c>
      <c r="M47" s="18" t="s">
        <v>292</v>
      </c>
      <c r="N47" s="18" t="s">
        <v>296</v>
      </c>
      <c r="O47" s="18" t="s">
        <v>300</v>
      </c>
      <c r="P47" s="18" t="s">
        <v>303</v>
      </c>
      <c r="Q47" s="18">
        <v>8</v>
      </c>
    </row>
    <row r="48" spans="1:17" x14ac:dyDescent="0.25">
      <c r="A48" t="s">
        <v>186</v>
      </c>
      <c r="B48">
        <v>40</v>
      </c>
      <c r="C48" t="s">
        <v>213</v>
      </c>
      <c r="D48">
        <v>0</v>
      </c>
      <c r="G48">
        <v>2</v>
      </c>
      <c r="I48" s="18" t="s">
        <v>278</v>
      </c>
      <c r="J48" s="18">
        <v>2</v>
      </c>
      <c r="K48" s="18" t="s">
        <v>283</v>
      </c>
      <c r="L48" s="18" t="s">
        <v>286</v>
      </c>
      <c r="M48" s="18" t="s">
        <v>293</v>
      </c>
      <c r="N48" s="18" t="s">
        <v>296</v>
      </c>
      <c r="O48" s="18" t="s">
        <v>297</v>
      </c>
      <c r="P48" s="18" t="s">
        <v>303</v>
      </c>
      <c r="Q48" s="18">
        <v>5</v>
      </c>
    </row>
    <row r="49" spans="1:17" x14ac:dyDescent="0.25">
      <c r="A49" t="s">
        <v>187</v>
      </c>
      <c r="B49">
        <v>60</v>
      </c>
      <c r="C49" t="s">
        <v>214</v>
      </c>
      <c r="D49">
        <v>2</v>
      </c>
      <c r="G49">
        <v>3</v>
      </c>
      <c r="I49" s="18" t="s">
        <v>279</v>
      </c>
      <c r="J49" s="18">
        <v>3</v>
      </c>
      <c r="K49" s="18" t="s">
        <v>281</v>
      </c>
      <c r="L49" s="18" t="s">
        <v>288</v>
      </c>
      <c r="M49" s="18" t="s">
        <v>294</v>
      </c>
      <c r="N49" s="18" t="s">
        <v>296</v>
      </c>
      <c r="O49" s="18" t="s">
        <v>300</v>
      </c>
      <c r="P49" s="18" t="s">
        <v>303</v>
      </c>
      <c r="Q49" s="18">
        <v>8</v>
      </c>
    </row>
    <row r="50" spans="1:17" x14ac:dyDescent="0.25">
      <c r="A50" t="s">
        <v>188</v>
      </c>
      <c r="B50">
        <v>0</v>
      </c>
      <c r="C50" t="s">
        <v>215</v>
      </c>
      <c r="D50">
        <v>1</v>
      </c>
      <c r="G50">
        <v>1</v>
      </c>
      <c r="I50" s="18" t="s">
        <v>280</v>
      </c>
      <c r="J50" s="18">
        <v>3</v>
      </c>
      <c r="K50" s="18" t="s">
        <v>281</v>
      </c>
      <c r="L50" s="18" t="s">
        <v>286</v>
      </c>
      <c r="M50" s="18" t="s">
        <v>291</v>
      </c>
      <c r="N50" s="18" t="s">
        <v>296</v>
      </c>
      <c r="O50" s="18" t="s">
        <v>302</v>
      </c>
      <c r="P50" s="18" t="s">
        <v>303</v>
      </c>
      <c r="Q50" s="18">
        <v>5</v>
      </c>
    </row>
    <row r="51" spans="1:17" x14ac:dyDescent="0.25">
      <c r="A51" t="s">
        <v>189</v>
      </c>
      <c r="B51">
        <v>10</v>
      </c>
      <c r="C51" t="s">
        <v>215</v>
      </c>
      <c r="D51">
        <v>-1</v>
      </c>
      <c r="G51">
        <v>2</v>
      </c>
      <c r="I51" s="18" t="s">
        <v>304</v>
      </c>
      <c r="J51" s="18" t="s">
        <v>365</v>
      </c>
      <c r="K51" s="18" t="s">
        <v>281</v>
      </c>
      <c r="L51" s="18" t="s">
        <v>288</v>
      </c>
      <c r="M51" s="18" t="s">
        <v>305</v>
      </c>
      <c r="N51" s="18" t="s">
        <v>295</v>
      </c>
      <c r="O51" s="18" t="s">
        <v>297</v>
      </c>
      <c r="P51" s="18" t="s">
        <v>306</v>
      </c>
      <c r="Q51" s="18">
        <v>10</v>
      </c>
    </row>
    <row r="52" spans="1:17" x14ac:dyDescent="0.25">
      <c r="A52" t="s">
        <v>190</v>
      </c>
      <c r="B52">
        <v>30</v>
      </c>
      <c r="C52" t="s">
        <v>215</v>
      </c>
      <c r="D52">
        <v>1</v>
      </c>
      <c r="G52">
        <v>3</v>
      </c>
      <c r="I52" s="18" t="s">
        <v>309</v>
      </c>
      <c r="J52" s="18" t="s">
        <v>365</v>
      </c>
      <c r="K52" s="18" t="s">
        <v>281</v>
      </c>
      <c r="L52" s="18" t="s">
        <v>286</v>
      </c>
      <c r="M52" s="18" t="s">
        <v>292</v>
      </c>
      <c r="N52" s="18" t="s">
        <v>295</v>
      </c>
      <c r="O52" s="18" t="s">
        <v>297</v>
      </c>
      <c r="P52" s="18" t="s">
        <v>340</v>
      </c>
      <c r="Q52" s="18">
        <v>15</v>
      </c>
    </row>
    <row r="53" spans="1:17" x14ac:dyDescent="0.25">
      <c r="A53" t="s">
        <v>191</v>
      </c>
      <c r="B53">
        <v>0</v>
      </c>
      <c r="C53" t="s">
        <v>216</v>
      </c>
      <c r="D53">
        <v>2</v>
      </c>
      <c r="G53">
        <v>1</v>
      </c>
      <c r="I53" s="18" t="s">
        <v>310</v>
      </c>
      <c r="J53" s="18" t="s">
        <v>365</v>
      </c>
      <c r="K53" s="18" t="s">
        <v>281</v>
      </c>
      <c r="L53" s="18" t="s">
        <v>288</v>
      </c>
      <c r="M53" s="18" t="s">
        <v>290</v>
      </c>
      <c r="N53" s="18" t="s">
        <v>296</v>
      </c>
      <c r="O53" s="18" t="s">
        <v>297</v>
      </c>
      <c r="P53" s="18" t="s">
        <v>340</v>
      </c>
      <c r="Q53" s="18">
        <v>15</v>
      </c>
    </row>
    <row r="54" spans="1:17" x14ac:dyDescent="0.25">
      <c r="A54" t="s">
        <v>192</v>
      </c>
      <c r="B54">
        <v>50</v>
      </c>
      <c r="C54" t="s">
        <v>219</v>
      </c>
      <c r="D54">
        <v>0</v>
      </c>
      <c r="G54">
        <v>2</v>
      </c>
      <c r="I54" s="18" t="s">
        <v>311</v>
      </c>
      <c r="J54" s="18">
        <v>7</v>
      </c>
      <c r="K54" s="18" t="s">
        <v>281</v>
      </c>
      <c r="L54" s="18" t="s">
        <v>286</v>
      </c>
      <c r="M54" s="18" t="s">
        <v>289</v>
      </c>
      <c r="N54" s="18" t="s">
        <v>296</v>
      </c>
      <c r="O54" s="18" t="s">
        <v>297</v>
      </c>
      <c r="P54" s="18" t="s">
        <v>340</v>
      </c>
      <c r="Q54" s="18">
        <v>15</v>
      </c>
    </row>
    <row r="55" spans="1:17" x14ac:dyDescent="0.25">
      <c r="A55" t="s">
        <v>193</v>
      </c>
      <c r="B55">
        <v>50</v>
      </c>
      <c r="C55" t="s">
        <v>218</v>
      </c>
      <c r="D55">
        <v>0</v>
      </c>
      <c r="G55">
        <v>3</v>
      </c>
      <c r="I55" s="18" t="s">
        <v>312</v>
      </c>
      <c r="J55" s="18">
        <v>7</v>
      </c>
      <c r="K55" s="18" t="s">
        <v>281</v>
      </c>
      <c r="L55" s="18" t="s">
        <v>286</v>
      </c>
      <c r="M55" s="18" t="s">
        <v>289</v>
      </c>
      <c r="N55" s="18" t="s">
        <v>296</v>
      </c>
      <c r="O55" s="18" t="s">
        <v>297</v>
      </c>
      <c r="P55" s="18" t="s">
        <v>340</v>
      </c>
      <c r="Q55" s="18">
        <v>15</v>
      </c>
    </row>
    <row r="56" spans="1:17" x14ac:dyDescent="0.25">
      <c r="A56" t="s">
        <v>194</v>
      </c>
      <c r="B56">
        <v>60</v>
      </c>
      <c r="C56" t="s">
        <v>217</v>
      </c>
      <c r="D56">
        <v>1</v>
      </c>
      <c r="G56">
        <v>3</v>
      </c>
      <c r="I56" s="18" t="s">
        <v>313</v>
      </c>
      <c r="J56" s="18">
        <v>8</v>
      </c>
      <c r="K56" s="18" t="s">
        <v>281</v>
      </c>
      <c r="L56" s="18" t="s">
        <v>286</v>
      </c>
      <c r="M56" s="18" t="s">
        <v>289</v>
      </c>
      <c r="N56" s="18" t="s">
        <v>296</v>
      </c>
      <c r="O56" s="18" t="s">
        <v>297</v>
      </c>
      <c r="P56" s="18" t="s">
        <v>340</v>
      </c>
      <c r="Q56" s="18">
        <v>15</v>
      </c>
    </row>
    <row r="57" spans="1:17" x14ac:dyDescent="0.25">
      <c r="A57" t="s">
        <v>195</v>
      </c>
      <c r="B57">
        <v>0</v>
      </c>
      <c r="C57" t="s">
        <v>220</v>
      </c>
      <c r="D57">
        <v>1</v>
      </c>
      <c r="E57" t="s">
        <v>254</v>
      </c>
      <c r="G57">
        <v>1</v>
      </c>
      <c r="I57" s="18" t="s">
        <v>314</v>
      </c>
      <c r="J57" s="18">
        <v>6</v>
      </c>
      <c r="K57" s="18" t="s">
        <v>283</v>
      </c>
      <c r="L57" s="18" t="s">
        <v>337</v>
      </c>
      <c r="M57" s="18" t="s">
        <v>289</v>
      </c>
      <c r="N57" s="18" t="s">
        <v>296</v>
      </c>
      <c r="O57" s="18" t="s">
        <v>297</v>
      </c>
      <c r="P57" s="18" t="s">
        <v>341</v>
      </c>
      <c r="Q57" s="18">
        <v>15</v>
      </c>
    </row>
    <row r="58" spans="1:17" x14ac:dyDescent="0.25">
      <c r="A58" t="s">
        <v>196</v>
      </c>
      <c r="B58">
        <v>30</v>
      </c>
      <c r="C58" t="s">
        <v>221</v>
      </c>
      <c r="D58">
        <v>0</v>
      </c>
      <c r="G58">
        <v>2</v>
      </c>
      <c r="I58" s="18" t="s">
        <v>315</v>
      </c>
      <c r="J58" s="18">
        <v>7</v>
      </c>
      <c r="K58" s="18" t="s">
        <v>335</v>
      </c>
      <c r="L58" s="18" t="s">
        <v>338</v>
      </c>
      <c r="M58" s="18" t="s">
        <v>289</v>
      </c>
      <c r="N58" s="18" t="s">
        <v>296</v>
      </c>
      <c r="O58" s="18" t="s">
        <v>297</v>
      </c>
      <c r="P58" s="18" t="s">
        <v>341</v>
      </c>
      <c r="Q58" s="18">
        <v>15</v>
      </c>
    </row>
    <row r="59" spans="1:17" x14ac:dyDescent="0.25">
      <c r="A59" t="s">
        <v>197</v>
      </c>
      <c r="B59">
        <v>80</v>
      </c>
      <c r="C59" t="s">
        <v>222</v>
      </c>
      <c r="D59">
        <v>2</v>
      </c>
      <c r="G59">
        <v>3</v>
      </c>
      <c r="I59" s="18" t="s">
        <v>316</v>
      </c>
      <c r="J59" s="18">
        <v>10</v>
      </c>
      <c r="K59" s="18" t="s">
        <v>336</v>
      </c>
      <c r="L59" s="18" t="s">
        <v>288</v>
      </c>
      <c r="M59" s="18" t="s">
        <v>289</v>
      </c>
      <c r="N59" s="18" t="s">
        <v>296</v>
      </c>
      <c r="O59" s="18" t="s">
        <v>297</v>
      </c>
      <c r="P59" s="18" t="s">
        <v>341</v>
      </c>
      <c r="Q59" s="18">
        <v>5</v>
      </c>
    </row>
    <row r="60" spans="1:17" x14ac:dyDescent="0.25">
      <c r="A60" t="s">
        <v>198</v>
      </c>
      <c r="B60">
        <v>0</v>
      </c>
      <c r="C60" t="s">
        <v>223</v>
      </c>
      <c r="D60">
        <v>0</v>
      </c>
      <c r="G60">
        <v>1</v>
      </c>
      <c r="I60" s="18" t="s">
        <v>317</v>
      </c>
      <c r="J60" s="18">
        <v>6</v>
      </c>
      <c r="K60" s="18" t="s">
        <v>283</v>
      </c>
      <c r="L60" s="18" t="s">
        <v>286</v>
      </c>
      <c r="M60" s="18" t="s">
        <v>339</v>
      </c>
      <c r="N60" s="18" t="s">
        <v>296</v>
      </c>
      <c r="O60" s="18" t="s">
        <v>297</v>
      </c>
      <c r="P60" s="18" t="s">
        <v>341</v>
      </c>
      <c r="Q60" s="18">
        <v>5</v>
      </c>
    </row>
    <row r="61" spans="1:17" x14ac:dyDescent="0.25">
      <c r="A61" t="s">
        <v>199</v>
      </c>
      <c r="B61">
        <v>30</v>
      </c>
      <c r="C61" t="s">
        <v>223</v>
      </c>
      <c r="D61">
        <v>0</v>
      </c>
      <c r="G61">
        <v>2</v>
      </c>
      <c r="I61" s="18" t="s">
        <v>318</v>
      </c>
      <c r="J61" s="18" t="s">
        <v>365</v>
      </c>
      <c r="K61" s="18" t="s">
        <v>283</v>
      </c>
      <c r="L61" s="18" t="s">
        <v>286</v>
      </c>
      <c r="M61" s="18" t="s">
        <v>342</v>
      </c>
      <c r="N61" s="18" t="s">
        <v>295</v>
      </c>
      <c r="O61" s="18" t="s">
        <v>297</v>
      </c>
      <c r="P61" s="18" t="s">
        <v>341</v>
      </c>
      <c r="Q61" s="18">
        <v>15</v>
      </c>
    </row>
    <row r="62" spans="1:17" x14ac:dyDescent="0.25">
      <c r="A62" t="s">
        <v>200</v>
      </c>
      <c r="B62">
        <v>60</v>
      </c>
      <c r="C62" t="s">
        <v>223</v>
      </c>
      <c r="D62">
        <v>2</v>
      </c>
      <c r="G62">
        <v>3</v>
      </c>
      <c r="I62" s="18" t="s">
        <v>319</v>
      </c>
      <c r="J62" s="18">
        <v>7</v>
      </c>
      <c r="K62" s="18" t="s">
        <v>281</v>
      </c>
      <c r="L62" s="18" t="s">
        <v>286</v>
      </c>
      <c r="M62" s="18" t="s">
        <v>289</v>
      </c>
      <c r="N62" s="18" t="s">
        <v>296</v>
      </c>
      <c r="O62" s="18" t="s">
        <v>298</v>
      </c>
      <c r="P62" s="18" t="s">
        <v>347</v>
      </c>
      <c r="Q62" s="18">
        <v>15</v>
      </c>
    </row>
    <row r="63" spans="1:17" x14ac:dyDescent="0.25">
      <c r="I63" s="18" t="s">
        <v>320</v>
      </c>
      <c r="J63" s="18">
        <v>5</v>
      </c>
      <c r="K63" s="18" t="s">
        <v>281</v>
      </c>
      <c r="L63" s="18" t="s">
        <v>343</v>
      </c>
      <c r="M63" s="18" t="s">
        <v>342</v>
      </c>
      <c r="N63" s="18" t="s">
        <v>296</v>
      </c>
      <c r="O63" s="18" t="s">
        <v>298</v>
      </c>
      <c r="P63" s="18" t="s">
        <v>347</v>
      </c>
      <c r="Q63" s="18">
        <v>5</v>
      </c>
    </row>
    <row r="64" spans="1:17" x14ac:dyDescent="0.25">
      <c r="I64" s="18" t="s">
        <v>321</v>
      </c>
      <c r="J64" s="18" t="s">
        <v>365</v>
      </c>
      <c r="K64" s="18" t="s">
        <v>281</v>
      </c>
      <c r="L64" s="18" t="s">
        <v>288</v>
      </c>
      <c r="M64" s="18" t="s">
        <v>292</v>
      </c>
      <c r="N64" s="18" t="s">
        <v>296</v>
      </c>
      <c r="O64" s="18" t="s">
        <v>298</v>
      </c>
      <c r="P64" s="18" t="s">
        <v>347</v>
      </c>
      <c r="Q64" s="18">
        <v>20</v>
      </c>
    </row>
    <row r="65" spans="9:17" x14ac:dyDescent="0.25">
      <c r="I65" s="18" t="s">
        <v>322</v>
      </c>
      <c r="J65" s="18" t="s">
        <v>365</v>
      </c>
      <c r="K65" s="18" t="s">
        <v>281</v>
      </c>
      <c r="L65" s="18" t="s">
        <v>288</v>
      </c>
      <c r="M65" s="18" t="s">
        <v>344</v>
      </c>
      <c r="N65" s="18" t="s">
        <v>295</v>
      </c>
      <c r="O65" s="18" t="s">
        <v>298</v>
      </c>
      <c r="P65" s="18" t="s">
        <v>347</v>
      </c>
      <c r="Q65" s="18">
        <v>10</v>
      </c>
    </row>
    <row r="66" spans="9:17" x14ac:dyDescent="0.25">
      <c r="I66" s="18" t="s">
        <v>323</v>
      </c>
      <c r="J66" s="18">
        <v>7</v>
      </c>
      <c r="K66" s="18" t="s">
        <v>281</v>
      </c>
      <c r="L66" s="18" t="s">
        <v>286</v>
      </c>
      <c r="M66" s="18" t="s">
        <v>344</v>
      </c>
      <c r="N66" s="18" t="s">
        <v>296</v>
      </c>
      <c r="O66" s="18" t="s">
        <v>298</v>
      </c>
      <c r="P66" s="18" t="s">
        <v>347</v>
      </c>
      <c r="Q66" s="18">
        <v>15</v>
      </c>
    </row>
    <row r="67" spans="9:17" x14ac:dyDescent="0.25">
      <c r="I67" s="18" t="s">
        <v>324</v>
      </c>
      <c r="J67" s="18" t="s">
        <v>365</v>
      </c>
      <c r="K67" s="18" t="s">
        <v>281</v>
      </c>
      <c r="L67" s="18" t="s">
        <v>288</v>
      </c>
      <c r="M67" s="18" t="s">
        <v>344</v>
      </c>
      <c r="N67" s="18" t="s">
        <v>295</v>
      </c>
      <c r="O67" s="18" t="s">
        <v>300</v>
      </c>
      <c r="P67" s="18" t="s">
        <v>348</v>
      </c>
      <c r="Q67" s="18">
        <v>10</v>
      </c>
    </row>
    <row r="68" spans="9:17" x14ac:dyDescent="0.25">
      <c r="I68" s="18" t="s">
        <v>325</v>
      </c>
      <c r="J68" s="18" t="s">
        <v>365</v>
      </c>
      <c r="K68" s="18" t="s">
        <v>281</v>
      </c>
      <c r="L68" s="18" t="s">
        <v>288</v>
      </c>
      <c r="M68" s="18" t="s">
        <v>344</v>
      </c>
      <c r="N68" s="18" t="s">
        <v>295</v>
      </c>
      <c r="O68" s="18" t="s">
        <v>300</v>
      </c>
      <c r="P68" s="18" t="s">
        <v>348</v>
      </c>
      <c r="Q68" s="18">
        <v>10</v>
      </c>
    </row>
    <row r="69" spans="9:17" x14ac:dyDescent="0.25">
      <c r="I69" s="18" t="s">
        <v>326</v>
      </c>
      <c r="J69" s="18">
        <v>5</v>
      </c>
      <c r="K69" s="18" t="s">
        <v>281</v>
      </c>
      <c r="L69" s="18" t="s">
        <v>286</v>
      </c>
      <c r="M69" s="18" t="s">
        <v>289</v>
      </c>
      <c r="N69" s="18" t="s">
        <v>296</v>
      </c>
      <c r="O69" s="18" t="s">
        <v>300</v>
      </c>
      <c r="P69" s="18" t="s">
        <v>348</v>
      </c>
      <c r="Q69" s="18">
        <v>8</v>
      </c>
    </row>
    <row r="70" spans="9:17" x14ac:dyDescent="0.25">
      <c r="I70" s="18" t="s">
        <v>327</v>
      </c>
      <c r="J70" s="18">
        <v>5</v>
      </c>
      <c r="K70" s="18" t="s">
        <v>283</v>
      </c>
      <c r="L70" s="18" t="s">
        <v>286</v>
      </c>
      <c r="M70" s="18" t="s">
        <v>289</v>
      </c>
      <c r="N70" s="18" t="s">
        <v>296</v>
      </c>
      <c r="O70" s="18" t="s">
        <v>300</v>
      </c>
      <c r="P70" s="18" t="s">
        <v>348</v>
      </c>
      <c r="Q70" s="18">
        <v>15</v>
      </c>
    </row>
    <row r="71" spans="9:17" x14ac:dyDescent="0.25">
      <c r="I71" s="18" t="s">
        <v>328</v>
      </c>
      <c r="J71" s="18">
        <v>7</v>
      </c>
      <c r="K71" s="18" t="s">
        <v>281</v>
      </c>
      <c r="L71" s="18" t="s">
        <v>288</v>
      </c>
      <c r="M71" s="18" t="s">
        <v>290</v>
      </c>
      <c r="N71" s="18" t="s">
        <v>296</v>
      </c>
      <c r="O71" s="18" t="s">
        <v>300</v>
      </c>
      <c r="P71" s="18" t="s">
        <v>348</v>
      </c>
      <c r="Q71" s="18">
        <v>15</v>
      </c>
    </row>
    <row r="72" spans="9:17" x14ac:dyDescent="0.25">
      <c r="I72" s="18" t="s">
        <v>329</v>
      </c>
      <c r="J72" s="18">
        <v>4</v>
      </c>
      <c r="K72" s="18" t="s">
        <v>283</v>
      </c>
      <c r="L72" s="18" t="s">
        <v>286</v>
      </c>
      <c r="M72" s="18" t="s">
        <v>292</v>
      </c>
      <c r="N72" s="18" t="s">
        <v>296</v>
      </c>
      <c r="O72" s="18" t="s">
        <v>346</v>
      </c>
      <c r="P72" s="18" t="s">
        <v>332</v>
      </c>
      <c r="Q72" s="18">
        <v>15</v>
      </c>
    </row>
    <row r="73" spans="9:17" x14ac:dyDescent="0.25">
      <c r="I73" s="18" t="s">
        <v>330</v>
      </c>
      <c r="J73" s="18" t="s">
        <v>334</v>
      </c>
      <c r="K73" s="18" t="s">
        <v>283</v>
      </c>
      <c r="L73" s="18" t="s">
        <v>286</v>
      </c>
      <c r="M73" s="18" t="s">
        <v>342</v>
      </c>
      <c r="N73" s="18" t="s">
        <v>296</v>
      </c>
      <c r="O73" s="18" t="s">
        <v>346</v>
      </c>
      <c r="P73" s="18" t="s">
        <v>332</v>
      </c>
      <c r="Q73" s="18">
        <v>15</v>
      </c>
    </row>
    <row r="74" spans="9:17" x14ac:dyDescent="0.25">
      <c r="I74" s="18" t="s">
        <v>331</v>
      </c>
      <c r="J74" s="18" t="s">
        <v>366</v>
      </c>
      <c r="K74" s="18" t="s">
        <v>281</v>
      </c>
      <c r="L74" s="18" t="s">
        <v>288</v>
      </c>
      <c r="M74" s="18" t="s">
        <v>345</v>
      </c>
      <c r="N74" s="18" t="s">
        <v>295</v>
      </c>
      <c r="O74" s="18" t="s">
        <v>297</v>
      </c>
      <c r="P74" s="18" t="s">
        <v>332</v>
      </c>
      <c r="Q74" s="18">
        <v>10</v>
      </c>
    </row>
    <row r="75" spans="9:17" x14ac:dyDescent="0.25">
      <c r="I75" s="18" t="s">
        <v>332</v>
      </c>
      <c r="J75" s="18">
        <v>3</v>
      </c>
      <c r="K75" s="18" t="s">
        <v>281</v>
      </c>
      <c r="L75" s="18" t="s">
        <v>286</v>
      </c>
      <c r="M75" s="18" t="s">
        <v>293</v>
      </c>
      <c r="N75" s="18" t="s">
        <v>295</v>
      </c>
      <c r="O75" s="18" t="s">
        <v>346</v>
      </c>
      <c r="P75" s="18" t="s">
        <v>332</v>
      </c>
      <c r="Q75" s="18">
        <v>5</v>
      </c>
    </row>
    <row r="76" spans="9:17" x14ac:dyDescent="0.25">
      <c r="I76" s="18" t="s">
        <v>333</v>
      </c>
      <c r="J76" s="18">
        <v>5</v>
      </c>
      <c r="K76" s="18" t="s">
        <v>283</v>
      </c>
      <c r="L76" s="18" t="s">
        <v>288</v>
      </c>
      <c r="M76" s="18" t="s">
        <v>292</v>
      </c>
      <c r="N76" s="18" t="s">
        <v>296</v>
      </c>
      <c r="O76" s="18" t="s">
        <v>346</v>
      </c>
      <c r="P76" s="18" t="s">
        <v>332</v>
      </c>
      <c r="Q76" s="18">
        <v>15</v>
      </c>
    </row>
    <row r="77" spans="9:17" x14ac:dyDescent="0.25">
      <c r="I77" s="18" t="s">
        <v>349</v>
      </c>
      <c r="J77" s="18">
        <v>7</v>
      </c>
      <c r="K77" s="18" t="s">
        <v>281</v>
      </c>
      <c r="L77" s="18" t="s">
        <v>288</v>
      </c>
      <c r="M77" s="18" t="s">
        <v>344</v>
      </c>
      <c r="N77" s="18" t="s">
        <v>296</v>
      </c>
      <c r="O77" s="18" t="s">
        <v>361</v>
      </c>
      <c r="P77" s="18" t="s">
        <v>363</v>
      </c>
      <c r="Q77" s="18">
        <v>15</v>
      </c>
    </row>
    <row r="78" spans="9:17" x14ac:dyDescent="0.25">
      <c r="I78" s="18" t="s">
        <v>350</v>
      </c>
      <c r="J78" s="18" t="s">
        <v>334</v>
      </c>
      <c r="K78" s="18" t="s">
        <v>283</v>
      </c>
      <c r="L78" s="18" t="s">
        <v>286</v>
      </c>
      <c r="M78" s="18" t="s">
        <v>342</v>
      </c>
      <c r="N78" s="18" t="s">
        <v>296</v>
      </c>
      <c r="O78" s="18" t="s">
        <v>361</v>
      </c>
      <c r="P78" s="18" t="s">
        <v>363</v>
      </c>
      <c r="Q78" s="18">
        <v>20</v>
      </c>
    </row>
    <row r="79" spans="9:17" x14ac:dyDescent="0.25">
      <c r="I79" s="18" t="s">
        <v>351</v>
      </c>
      <c r="J79" s="18" t="s">
        <v>365</v>
      </c>
      <c r="K79" s="18" t="s">
        <v>281</v>
      </c>
      <c r="L79" s="18" t="s">
        <v>288</v>
      </c>
      <c r="M79" s="18" t="s">
        <v>344</v>
      </c>
      <c r="N79" s="18" t="s">
        <v>295</v>
      </c>
      <c r="O79" s="18" t="s">
        <v>361</v>
      </c>
      <c r="P79" s="18" t="s">
        <v>363</v>
      </c>
      <c r="Q79" s="18">
        <v>20</v>
      </c>
    </row>
    <row r="80" spans="9:17" x14ac:dyDescent="0.25">
      <c r="I80" s="18" t="s">
        <v>352</v>
      </c>
      <c r="J80" s="18" t="s">
        <v>365</v>
      </c>
      <c r="K80" s="18" t="s">
        <v>281</v>
      </c>
      <c r="L80" s="18" t="s">
        <v>286</v>
      </c>
      <c r="M80" s="18" t="s">
        <v>360</v>
      </c>
      <c r="N80" s="18" t="s">
        <v>295</v>
      </c>
      <c r="O80" s="18" t="s">
        <v>361</v>
      </c>
      <c r="P80" s="18" t="s">
        <v>363</v>
      </c>
      <c r="Q80" s="18">
        <v>15</v>
      </c>
    </row>
    <row r="81" spans="9:17" x14ac:dyDescent="0.25">
      <c r="I81" s="18" t="s">
        <v>353</v>
      </c>
      <c r="J81" s="18" t="s">
        <v>366</v>
      </c>
      <c r="K81" s="18" t="s">
        <v>281</v>
      </c>
      <c r="L81" s="18" t="s">
        <v>286</v>
      </c>
      <c r="M81" s="18" t="s">
        <v>291</v>
      </c>
      <c r="N81" s="18" t="s">
        <v>295</v>
      </c>
      <c r="O81" s="18" t="s">
        <v>361</v>
      </c>
      <c r="P81" s="18" t="s">
        <v>363</v>
      </c>
      <c r="Q81" s="18">
        <v>10</v>
      </c>
    </row>
    <row r="82" spans="9:17" x14ac:dyDescent="0.25">
      <c r="I82" s="18" t="s">
        <v>354</v>
      </c>
      <c r="J82" s="18">
        <v>5</v>
      </c>
      <c r="K82" s="18" t="s">
        <v>281</v>
      </c>
      <c r="L82" s="18" t="s">
        <v>286</v>
      </c>
      <c r="M82" s="18" t="s">
        <v>291</v>
      </c>
      <c r="N82" s="18" t="s">
        <v>296</v>
      </c>
      <c r="O82" s="18" t="s">
        <v>362</v>
      </c>
      <c r="P82" s="18" t="s">
        <v>364</v>
      </c>
      <c r="Q82" s="18">
        <v>20</v>
      </c>
    </row>
    <row r="83" spans="9:17" x14ac:dyDescent="0.25">
      <c r="I83" s="18" t="s">
        <v>355</v>
      </c>
      <c r="J83" s="18">
        <v>5</v>
      </c>
      <c r="K83" s="18" t="s">
        <v>281</v>
      </c>
      <c r="L83" s="18" t="s">
        <v>286</v>
      </c>
      <c r="M83" s="18" t="s">
        <v>291</v>
      </c>
      <c r="N83" s="18" t="s">
        <v>296</v>
      </c>
      <c r="O83" s="18" t="s">
        <v>362</v>
      </c>
      <c r="P83" s="18" t="s">
        <v>364</v>
      </c>
      <c r="Q83" s="18">
        <v>20</v>
      </c>
    </row>
    <row r="84" spans="9:17" x14ac:dyDescent="0.25">
      <c r="I84" s="18" t="s">
        <v>356</v>
      </c>
      <c r="J84" s="18">
        <v>7</v>
      </c>
      <c r="K84" s="18" t="s">
        <v>281</v>
      </c>
      <c r="L84" s="18" t="s">
        <v>286</v>
      </c>
      <c r="M84" s="18" t="s">
        <v>291</v>
      </c>
      <c r="N84" s="18" t="s">
        <v>296</v>
      </c>
      <c r="O84" s="18" t="s">
        <v>362</v>
      </c>
      <c r="P84" s="18" t="s">
        <v>364</v>
      </c>
      <c r="Q84" s="18">
        <v>30</v>
      </c>
    </row>
    <row r="85" spans="9:17" x14ac:dyDescent="0.25">
      <c r="I85" s="18" t="s">
        <v>357</v>
      </c>
      <c r="J85" s="18">
        <v>5</v>
      </c>
      <c r="K85" s="18" t="s">
        <v>281</v>
      </c>
      <c r="L85" s="18" t="s">
        <v>286</v>
      </c>
      <c r="M85" s="18" t="s">
        <v>291</v>
      </c>
      <c r="N85" s="18" t="s">
        <v>296</v>
      </c>
      <c r="O85" s="18" t="s">
        <v>362</v>
      </c>
      <c r="P85" s="18" t="s">
        <v>364</v>
      </c>
      <c r="Q85" s="18">
        <v>20</v>
      </c>
    </row>
    <row r="86" spans="9:17" x14ac:dyDescent="0.25">
      <c r="I86" s="18" t="s">
        <v>358</v>
      </c>
      <c r="J86" s="18">
        <v>5</v>
      </c>
      <c r="K86" s="18" t="s">
        <v>281</v>
      </c>
      <c r="L86" s="18" t="s">
        <v>286</v>
      </c>
      <c r="M86" s="18" t="s">
        <v>291</v>
      </c>
      <c r="N86" s="18" t="s">
        <v>296</v>
      </c>
      <c r="O86" s="18" t="s">
        <v>362</v>
      </c>
      <c r="P86" s="18" t="s">
        <v>364</v>
      </c>
      <c r="Q86" s="18">
        <v>20</v>
      </c>
    </row>
    <row r="87" spans="9:17" x14ac:dyDescent="0.25">
      <c r="I87" s="18" t="s">
        <v>359</v>
      </c>
      <c r="J87" s="18">
        <v>5</v>
      </c>
      <c r="K87" s="18" t="s">
        <v>281</v>
      </c>
      <c r="L87" s="18" t="s">
        <v>286</v>
      </c>
      <c r="M87" s="18" t="s">
        <v>291</v>
      </c>
      <c r="N87" s="18" t="s">
        <v>296</v>
      </c>
      <c r="O87" s="18" t="s">
        <v>362</v>
      </c>
      <c r="P87" s="18" t="s">
        <v>364</v>
      </c>
      <c r="Q87" s="18">
        <v>20</v>
      </c>
    </row>
    <row r="88" spans="9:17" x14ac:dyDescent="0.25">
      <c r="J88" s="1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36</vt:i4>
      </vt:variant>
    </vt:vector>
  </HeadingPairs>
  <TitlesOfParts>
    <vt:vector size="40" baseType="lpstr">
      <vt:lpstr>Notes</vt:lpstr>
      <vt:lpstr>Character</vt:lpstr>
      <vt:lpstr>Ascension</vt:lpstr>
      <vt:lpstr>Database</vt:lpstr>
      <vt:lpstr>Adj_Agility</vt:lpstr>
      <vt:lpstr>Adj_Fellowship</vt:lpstr>
      <vt:lpstr>Adj_Initiative</vt:lpstr>
      <vt:lpstr>Adj_Intellect</vt:lpstr>
      <vt:lpstr>Adj_Strength</vt:lpstr>
      <vt:lpstr>Adj_Toughness</vt:lpstr>
      <vt:lpstr>Adj_Willpower</vt:lpstr>
      <vt:lpstr>Archetype</vt:lpstr>
      <vt:lpstr>Armour_Names</vt:lpstr>
      <vt:lpstr>Armour_Rating</vt:lpstr>
      <vt:lpstr>Ascension</vt:lpstr>
      <vt:lpstr>Combat_MentalTraits</vt:lpstr>
      <vt:lpstr>Names_Archetypes</vt:lpstr>
      <vt:lpstr>Names_Ascensions</vt:lpstr>
      <vt:lpstr>Names_Powers</vt:lpstr>
      <vt:lpstr>Names_Species</vt:lpstr>
      <vt:lpstr>Rank_Bonus</vt:lpstr>
      <vt:lpstr>Raw_Agility</vt:lpstr>
      <vt:lpstr>Raw_Fellowship</vt:lpstr>
      <vt:lpstr>Raw_Initiative</vt:lpstr>
      <vt:lpstr>Raw_Intellect</vt:lpstr>
      <vt:lpstr>Raw_Strength</vt:lpstr>
      <vt:lpstr>Raw_Toughness</vt:lpstr>
      <vt:lpstr>Raw_Willpower</vt:lpstr>
      <vt:lpstr>Species</vt:lpstr>
      <vt:lpstr>Table_Archetype</vt:lpstr>
      <vt:lpstr>Table_Armour</vt:lpstr>
      <vt:lpstr>Table_Ascensions</vt:lpstr>
      <vt:lpstr>Table_Attributes</vt:lpstr>
      <vt:lpstr>Table_CombatTraits</vt:lpstr>
      <vt:lpstr>Table_Powers</vt:lpstr>
      <vt:lpstr>Table_SocialTraits</vt:lpstr>
      <vt:lpstr>Table_Species</vt:lpstr>
      <vt:lpstr>Table_Species_X</vt:lpstr>
      <vt:lpstr>Tier</vt:lpstr>
      <vt:lpstr>Tier_Diff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dc:creator>
  <cp:lastModifiedBy>Cody</cp:lastModifiedBy>
  <dcterms:created xsi:type="dcterms:W3CDTF">2018-08-29T02:59:26Z</dcterms:created>
  <dcterms:modified xsi:type="dcterms:W3CDTF">2018-09-01T19:23:39Z</dcterms:modified>
</cp:coreProperties>
</file>